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55" yWindow="30" windowWidth="11820" windowHeight="11640" activeTab="0"/>
  </bookViews>
  <sheets>
    <sheet name="ЛЕЧЕБНО-ХИРУРГИЧЕСКИЙ" sheetId="1" r:id="rId1"/>
    <sheet name="ОРТОДОНТИЯ" sheetId="2" r:id="rId2"/>
  </sheets>
  <definedNames>
    <definedName name="_xlnm.Print_Titles" localSheetId="0">'ЛЕЧЕБНО-ХИРУРГИЧЕСКИЙ'!$11:$12</definedName>
    <definedName name="_xlnm.Print_Titles" localSheetId="1">'ОРТОДОНТИЯ'!$10:$10</definedName>
    <definedName name="_xlnm.Print_Area" localSheetId="0">'ЛЕЧЕБНО-ХИРУРГИЧЕСКИЙ'!$A$1:$G$132</definedName>
    <definedName name="_xlnm.Print_Area" localSheetId="1">'ОРТОДОНТИЯ'!$A$1:$H$79</definedName>
  </definedNames>
  <calcPr fullCalcOnLoad="1"/>
</workbook>
</file>

<file path=xl/sharedStrings.xml><?xml version="1.0" encoding="utf-8"?>
<sst xmlns="http://schemas.openxmlformats.org/spreadsheetml/2006/main" count="745" uniqueCount="605">
  <si>
    <t>Код услуги по номенклатуре</t>
  </si>
  <si>
    <t>Единица измерения</t>
  </si>
  <si>
    <t>Общие виды работ</t>
  </si>
  <si>
    <t>1 обследование</t>
  </si>
  <si>
    <t>1 осмотр</t>
  </si>
  <si>
    <t>В 01.065.003</t>
  </si>
  <si>
    <t>В 01.065.004</t>
  </si>
  <si>
    <t>В 04.065.003</t>
  </si>
  <si>
    <t>Диспансерный приём (осмотр, консультация) зубного врача.</t>
  </si>
  <si>
    <t>А 05.07.001</t>
  </si>
  <si>
    <t>1 манипуляция</t>
  </si>
  <si>
    <r>
      <t>А 16.07.050.</t>
    </r>
    <r>
      <rPr>
        <i/>
        <sz val="16"/>
        <rFont val="Times New Roman"/>
        <family val="1"/>
      </rPr>
      <t>3</t>
    </r>
  </si>
  <si>
    <t>1 зуб</t>
  </si>
  <si>
    <t>В 01.003.004.004</t>
  </si>
  <si>
    <t>1 анестезия</t>
  </si>
  <si>
    <t>В 01.003.004.005</t>
  </si>
  <si>
    <t>Инфильтрационная анестезия</t>
  </si>
  <si>
    <t>В 01.003.004.002</t>
  </si>
  <si>
    <t>Проводниковая анестезия</t>
  </si>
  <si>
    <t>А 22 07.002</t>
  </si>
  <si>
    <t>Ультразвуковое удаление наддесневых и поддесневых зубных отложений</t>
  </si>
  <si>
    <t>А 16.07.051</t>
  </si>
  <si>
    <t>1 квадранта</t>
  </si>
  <si>
    <r>
      <t>А 16.07.051</t>
    </r>
    <r>
      <rPr>
        <i/>
        <sz val="16"/>
        <rFont val="Times New Roman"/>
        <family val="1"/>
      </rPr>
      <t>.1</t>
    </r>
  </si>
  <si>
    <t>А 11.07.012</t>
  </si>
  <si>
    <t>А 16.07.025</t>
  </si>
  <si>
    <t>Избирательное пришлифовывание твердых тканей зуба</t>
  </si>
  <si>
    <r>
      <rPr>
        <b/>
        <sz val="16"/>
        <rFont val="Times New Roman"/>
        <family val="1"/>
      </rPr>
      <t>А 16.07.057</t>
    </r>
    <r>
      <rPr>
        <sz val="16"/>
        <rFont val="Times New Roman"/>
        <family val="1"/>
      </rPr>
      <t>.</t>
    </r>
    <r>
      <rPr>
        <i/>
        <sz val="16"/>
        <rFont val="Times New Roman"/>
        <family val="1"/>
      </rPr>
      <t>1</t>
    </r>
  </si>
  <si>
    <r>
      <rPr>
        <b/>
        <sz val="16"/>
        <rFont val="Times New Roman"/>
        <family val="1"/>
      </rPr>
      <t>А 16.07.057</t>
    </r>
    <r>
      <rPr>
        <sz val="16"/>
        <rFont val="Times New Roman"/>
        <family val="1"/>
      </rPr>
      <t>.</t>
    </r>
    <r>
      <rPr>
        <i/>
        <sz val="16"/>
        <rFont val="Times New Roman"/>
        <family val="1"/>
      </rPr>
      <t>2</t>
    </r>
  </si>
  <si>
    <t>А 16.07.019</t>
  </si>
  <si>
    <t>А 16.07.082</t>
  </si>
  <si>
    <t>А 22.07.001</t>
  </si>
  <si>
    <t>А 11.07.022</t>
  </si>
  <si>
    <t>Апликация лекарственного препарата на слизистую оболочку полости рта</t>
  </si>
  <si>
    <t>Терапевтический прием</t>
  </si>
  <si>
    <t>Восстановление зуба пломбой I, V,VI класс по Блэку с использованием материалов из фотополимеров</t>
  </si>
  <si>
    <t>А 16.07.002.003</t>
  </si>
  <si>
    <t xml:space="preserve">Восстановление зуба пломбой с нарушением контактного пункта II, III класс по Блэку с использованием материалов из фотополимеров </t>
  </si>
  <si>
    <t>А 16.07.002.005</t>
  </si>
  <si>
    <t>А 16. 07.002.012</t>
  </si>
  <si>
    <t>А 16. 07.031</t>
  </si>
  <si>
    <t>А 16.07.025.001</t>
  </si>
  <si>
    <t>А 16.07.091</t>
  </si>
  <si>
    <t>А 16.07.002.009</t>
  </si>
  <si>
    <t>Наложение временной пломбы</t>
  </si>
  <si>
    <t>А 16.07.092</t>
  </si>
  <si>
    <t>Трепанация зуба, искусственной коронки</t>
  </si>
  <si>
    <t>А11.07.027</t>
  </si>
  <si>
    <t>Наложение девитализирующей пасты</t>
  </si>
  <si>
    <t>А 16.07.094</t>
  </si>
  <si>
    <t>1 корневой канал</t>
  </si>
  <si>
    <t>А 16.07.093</t>
  </si>
  <si>
    <t>А 16.07.030.001</t>
  </si>
  <si>
    <t>А 16.07.030.002</t>
  </si>
  <si>
    <t>А 16.07.082.001</t>
  </si>
  <si>
    <t>А 16.07.082.002</t>
  </si>
  <si>
    <t>А 16.07.008.002</t>
  </si>
  <si>
    <t>А 16.07.008.001</t>
  </si>
  <si>
    <t>Пломбирование корневого канала зуба пастой</t>
  </si>
  <si>
    <t>А 16.07.030.003</t>
  </si>
  <si>
    <t>Временное пломбирование лекарственным препаратом корневого канала</t>
  </si>
  <si>
    <t>А 17.07.006</t>
  </si>
  <si>
    <t>Депофорез корневого канала зуба</t>
  </si>
  <si>
    <t>А 17.07.003</t>
  </si>
  <si>
    <t>Диатермокоагуляция при патологии полости рта и зубов</t>
  </si>
  <si>
    <t>А 16.07.008.003</t>
  </si>
  <si>
    <t>Закрытие перфорации стенки канала с использованием цемента минерал триоксид агрегат (МТА)</t>
  </si>
  <si>
    <t>Хирургический прием</t>
  </si>
  <si>
    <t>В 01.067.001</t>
  </si>
  <si>
    <t>Прием (осмотр, консультация) врача-стоматолога-хирурга первичный</t>
  </si>
  <si>
    <t>В 01.067.002</t>
  </si>
  <si>
    <t>Прием (осмотр, консультация) врача-стоматолога-хирурга повторный</t>
  </si>
  <si>
    <t>А 16.07.001.001</t>
  </si>
  <si>
    <t>А 16.07.001.002</t>
  </si>
  <si>
    <t>Удаление постоянного зуба</t>
  </si>
  <si>
    <t>А 16.07.001.003</t>
  </si>
  <si>
    <t xml:space="preserve"> Удаление зуба сложное с разъединением корней  </t>
  </si>
  <si>
    <t>А 16.07.024</t>
  </si>
  <si>
    <t>1 операция</t>
  </si>
  <si>
    <r>
      <t>А 16.07.001.</t>
    </r>
    <r>
      <rPr>
        <i/>
        <sz val="16"/>
        <color indexed="8"/>
        <rFont val="Times New Roman"/>
        <family val="1"/>
      </rPr>
      <t>1</t>
    </r>
  </si>
  <si>
    <r>
      <t>А 16.07.001.003.</t>
    </r>
    <r>
      <rPr>
        <i/>
        <sz val="16"/>
        <color indexed="8"/>
        <rFont val="Times New Roman"/>
        <family val="1"/>
      </rPr>
      <t>1</t>
    </r>
  </si>
  <si>
    <r>
      <t>А 16.07.001.003.</t>
    </r>
    <r>
      <rPr>
        <i/>
        <sz val="16"/>
        <color indexed="8"/>
        <rFont val="Times New Roman"/>
        <family val="1"/>
      </rPr>
      <t>2</t>
    </r>
  </si>
  <si>
    <t>А 16.07.097</t>
  </si>
  <si>
    <t>Наложение шва на слизистую оболочку полости рта</t>
  </si>
  <si>
    <t>1 шов</t>
  </si>
  <si>
    <t>А 15.07.002</t>
  </si>
  <si>
    <t>1 лунка</t>
  </si>
  <si>
    <t>А 16.07.011</t>
  </si>
  <si>
    <t>Вскрытие подслизистого или поднадкостничного очага воспаления</t>
  </si>
  <si>
    <r>
      <t>А 16.07.007.</t>
    </r>
    <r>
      <rPr>
        <i/>
        <sz val="16"/>
        <color indexed="8"/>
        <rFont val="Times New Roman"/>
        <family val="1"/>
      </rPr>
      <t>1</t>
    </r>
  </si>
  <si>
    <r>
      <t>А 16.07.007.</t>
    </r>
    <r>
      <rPr>
        <i/>
        <sz val="16"/>
        <color indexed="8"/>
        <rFont val="Times New Roman"/>
        <family val="1"/>
      </rPr>
      <t>2</t>
    </r>
  </si>
  <si>
    <t>А 16.07.016</t>
  </si>
  <si>
    <t>Цистотомия или цистэктомия</t>
  </si>
  <si>
    <r>
      <t>А 16.01.016.</t>
    </r>
    <r>
      <rPr>
        <i/>
        <sz val="16"/>
        <color indexed="8"/>
        <rFont val="Times New Roman"/>
        <family val="1"/>
      </rPr>
      <t>1</t>
    </r>
  </si>
  <si>
    <r>
      <t>А 16.07.089</t>
    </r>
    <r>
      <rPr>
        <i/>
        <sz val="16"/>
        <color indexed="8"/>
        <rFont val="Times New Roman"/>
        <family val="1"/>
      </rPr>
      <t>.1</t>
    </r>
  </si>
  <si>
    <t xml:space="preserve">Гингивопластика </t>
  </si>
  <si>
    <t>А 16.07.058</t>
  </si>
  <si>
    <t>Лечение перикоронита (промывание, рассечение и/ или иссечение капюшона)</t>
  </si>
  <si>
    <t>А 16.07.042</t>
  </si>
  <si>
    <t xml:space="preserve">Пластика уздечки верхней губы </t>
  </si>
  <si>
    <t>А 16.07.043</t>
  </si>
  <si>
    <t xml:space="preserve">Пластика уздечки нижней губы </t>
  </si>
  <si>
    <t>А 16.07.044</t>
  </si>
  <si>
    <t>А 16.07.027</t>
  </si>
  <si>
    <t>А 16.07.045</t>
  </si>
  <si>
    <t>А 16.30.069</t>
  </si>
  <si>
    <t>Снятие послеоперационных швов (лигатур)</t>
  </si>
  <si>
    <t>А 15.03.011</t>
  </si>
  <si>
    <t>Снятие шины с одной челюсти</t>
  </si>
  <si>
    <t>А 16.07.059</t>
  </si>
  <si>
    <t xml:space="preserve">Гемисекция </t>
  </si>
  <si>
    <t>Розовый и желтый фон – новые позиции (не перекрашивает)</t>
  </si>
  <si>
    <t>Зуботехнические работы – позиции взяты из ранее действующего классификатора  (2012)</t>
  </si>
  <si>
    <t>Починка двух переломов базиса самотвердеющей пластмассой</t>
  </si>
  <si>
    <t>А23.07.002.038</t>
  </si>
  <si>
    <t>Починка перелома базиса самотвердеющей пластмассой</t>
  </si>
  <si>
    <t>А23.07.002.037</t>
  </si>
  <si>
    <t>Приварка зуба</t>
  </si>
  <si>
    <t>А23.07.002.036</t>
  </si>
  <si>
    <t>1 кламмер</t>
  </si>
  <si>
    <t>Приварка кламмера</t>
  </si>
  <si>
    <t>А23.07.002.035</t>
  </si>
  <si>
    <t>Починка</t>
  </si>
  <si>
    <t>Аппарат Брюкля</t>
  </si>
  <si>
    <t>1 аппарат</t>
  </si>
  <si>
    <t xml:space="preserve">Изготовление сложного челюстного протеза   </t>
  </si>
  <si>
    <t>А23.07.002.071.2</t>
  </si>
  <si>
    <t>Аппарат Андрезена-Гойпля, аппарат Френкеля)</t>
  </si>
  <si>
    <t xml:space="preserve">Изготовление сложного челюстного протеза  </t>
  </si>
  <si>
    <t>А23.07.002.071.1</t>
  </si>
  <si>
    <t>Изготовление полного съемного пластинчатого протеза</t>
  </si>
  <si>
    <t>А23.07.002.040</t>
  </si>
  <si>
    <t>Дополнительно 1 зуб</t>
  </si>
  <si>
    <t>Изготовление частичного съемного протеза</t>
  </si>
  <si>
    <t>А23.07.002.033</t>
  </si>
  <si>
    <t>Изготовление частичного съемного протеза с 1 зубом</t>
  </si>
  <si>
    <t>Изготовление элайнера</t>
  </si>
  <si>
    <t>А23.07.002.065</t>
  </si>
  <si>
    <t>1аппарат</t>
  </si>
  <si>
    <t>Изготовление позиционера</t>
  </si>
  <si>
    <t>А23.07.002.061</t>
  </si>
  <si>
    <t>(каппы Дэймона)</t>
  </si>
  <si>
    <t xml:space="preserve">Изготовление боксерской шины  </t>
  </si>
  <si>
    <t>А23.07.002.043</t>
  </si>
  <si>
    <t>1 пластинка</t>
  </si>
  <si>
    <t>Изготовление пластинки с окклюзионными накладками</t>
  </si>
  <si>
    <t>А23.07.002.060</t>
  </si>
  <si>
    <t>Изготовление пластинки с заслоном для языка (без кламмеров)</t>
  </si>
  <si>
    <t>А23.07.002.059</t>
  </si>
  <si>
    <t>Изготовление пластинки вестибулярной</t>
  </si>
  <si>
    <t>А23.07.002.058</t>
  </si>
  <si>
    <t> 1 пелот</t>
  </si>
  <si>
    <t>Изготовление пелота на металлическом каркасе</t>
  </si>
  <si>
    <t>А23.07.002.057</t>
  </si>
  <si>
    <t>Изготовление зуба пластмассового простого</t>
  </si>
  <si>
    <t>А23.07.002.004</t>
  </si>
  <si>
    <t>1 звено</t>
  </si>
  <si>
    <t>Изготовление звеньев</t>
  </si>
  <si>
    <t>А23.07.002.047</t>
  </si>
  <si>
    <t>1 дуга</t>
  </si>
  <si>
    <t>Изготовление дуги вестибулярной с дополнительными изгибами</t>
  </si>
  <si>
    <t>А23.07.002.045</t>
  </si>
  <si>
    <t>Изготовление дуги вестибулярной</t>
  </si>
  <si>
    <t>А23.07.002.073</t>
  </si>
  <si>
    <t>1 ограничитель</t>
  </si>
  <si>
    <t>Изготовление ограничителя базиса бюгельного протеза</t>
  </si>
  <si>
    <t>А23.07.002.021</t>
  </si>
  <si>
    <t>С установкой импортного  винта Бертони</t>
  </si>
  <si>
    <t>1 элемент</t>
  </si>
  <si>
    <t>Распил ортодонтического аппарата через</t>
  </si>
  <si>
    <t>А16.07.053.002.2</t>
  </si>
  <si>
    <t xml:space="preserve"> С установкой импортного расширяющего винта</t>
  </si>
  <si>
    <t xml:space="preserve">Распил ортодонтического аппарата через винт  </t>
  </si>
  <si>
    <t>А16.07.053.002.1</t>
  </si>
  <si>
    <t>Изготовление одного элемента к съемной пластинке</t>
  </si>
  <si>
    <t>А23.07.002.042</t>
  </si>
  <si>
    <t>Изготовление кламмерагнутого из стальной проволоки</t>
  </si>
  <si>
    <t>А23.07.002.010</t>
  </si>
  <si>
    <t>1пластинка</t>
  </si>
  <si>
    <t>Изготовление съемной пластинки из пластмассы без элементов (накусочной пластинки)</t>
  </si>
  <si>
    <t>А23.07.002.063</t>
  </si>
  <si>
    <t>1 спайка</t>
  </si>
  <si>
    <t>Изготовление спайки</t>
  </si>
  <si>
    <t>А23.07.002.005</t>
  </si>
  <si>
    <t>1 кольцо</t>
  </si>
  <si>
    <t>Изготовление кольца ортодонтического</t>
  </si>
  <si>
    <t>А23.07.002.051</t>
  </si>
  <si>
    <t>1 коронка</t>
  </si>
  <si>
    <t>Изготовление коронки ортодонтической</t>
  </si>
  <si>
    <t>А23.07.002.055</t>
  </si>
  <si>
    <t>1 модель</t>
  </si>
  <si>
    <t>Изготовление контрольной модели с оформлением цоколя</t>
  </si>
  <si>
    <t xml:space="preserve"> А23.07.002.052</t>
  </si>
  <si>
    <t>Зуботехнические работы</t>
  </si>
  <si>
    <t>(изгибание и фиксация ретейнера)</t>
  </si>
  <si>
    <t xml:space="preserve">1 зуб  </t>
  </si>
  <si>
    <t>Ортодонтическое скрепление металлической проволокой          (изгибание и фиксация ретейнера)</t>
  </si>
  <si>
    <t>А16.07.018</t>
  </si>
  <si>
    <t>Снятие 1 ортодонтической коронки, кольца, брекета, ретейнера с последующей полировкой</t>
  </si>
  <si>
    <t xml:space="preserve"> 1 зуб</t>
  </si>
  <si>
    <t>Ортодонтическая коррекция с применением брекет-систем                       Снятие 1 ортодонтической коронки, кольца, брекета, ретейнера с последующей полировкой</t>
  </si>
  <si>
    <t>А16.07.048.6</t>
  </si>
  <si>
    <t>Наложение 1 лигатуры , 1 звена цепочки, 1 сепарационной лигатуры</t>
  </si>
  <si>
    <t xml:space="preserve"> 1 элемент</t>
  </si>
  <si>
    <t>Ортодонтическая коррекция с применением брекет-систем   Наложение 1 лигатуры , 1 звена цепочки, 1 сепарационной лигатуры</t>
  </si>
  <si>
    <t>А16.07.048.5</t>
  </si>
  <si>
    <t>Наложение и фиксация 1 детали стальной дуги</t>
  </si>
  <si>
    <t>Ортодонтическая коррекция с применением брекет-систем                         Наложение и фиксация 1 детали стальной дуги</t>
  </si>
  <si>
    <r>
      <t>А16.07.048</t>
    </r>
    <r>
      <rPr>
        <b/>
        <i/>
        <sz val="14"/>
        <rFont val="Times New Roman"/>
        <family val="1"/>
      </rPr>
      <t>.</t>
    </r>
    <r>
      <rPr>
        <b/>
        <sz val="14"/>
        <rFont val="Times New Roman"/>
        <family val="1"/>
      </rPr>
      <t>4</t>
    </r>
  </si>
  <si>
    <t>Наложение и фиксация 1 детали NiTi - дуги</t>
  </si>
  <si>
    <t>Ортодонтическая коррекция с применением брекет-систем      Наложение и фиксация 1 детали NiTi – дуги</t>
  </si>
  <si>
    <t>А16.07.048.3</t>
  </si>
  <si>
    <t>повторная фиксация 1 брекета, щечного замка</t>
  </si>
  <si>
    <t>Ортодонтическая коррекция с применением брекет-систем   Фиксация 1 брекета, щечного замка (с применением фотоматериалов)</t>
  </si>
  <si>
    <t>А16.07.048.2</t>
  </si>
  <si>
    <t xml:space="preserve">Фиксация 1 брекета, щечного замка (с применением фотоматериалов) </t>
  </si>
  <si>
    <t>Ортодонтическая коррекция с применением брекет-систем                        Фиксация 1 брекета, щечного замка (с применением фотоматериалов)</t>
  </si>
  <si>
    <t>А16.07.048.1</t>
  </si>
  <si>
    <t>Ортодонтическая коррекция с применением брекет-систем</t>
  </si>
  <si>
    <t>Сепараци 1 зуба (2 поверхности)</t>
  </si>
  <si>
    <r>
      <t xml:space="preserve">Сошлифовывание твердых тканей одного зуба (или </t>
    </r>
    <r>
      <rPr>
        <i/>
        <sz val="14"/>
        <rFont val="Times New Roman"/>
        <family val="1"/>
      </rPr>
      <t>сепарация 1 зуба (2 поверхности)</t>
    </r>
  </si>
  <si>
    <t>А16.07.082</t>
  </si>
  <si>
    <t>1 полирование</t>
  </si>
  <si>
    <t>Полирование ортодонтической конструкции</t>
  </si>
  <si>
    <t>А16.07.025.002</t>
  </si>
  <si>
    <t>Включая активирование элементов съемного ортодонтического аппарата)</t>
  </si>
  <si>
    <t>Коррекция съемного ортодонического аппарата (Включая активирование элементов съемного ортодонтического аппарата)</t>
  </si>
  <si>
    <t>А23.07.001.001</t>
  </si>
  <si>
    <t>каппы Дэймона и боксерской шины</t>
  </si>
  <si>
    <t>Припасовка и наложение ортодонтического аппарата (каппы Дэймона и боксерской шины)</t>
  </si>
  <si>
    <t> А23.07.003.4</t>
  </si>
  <si>
    <t>комбинированного действия</t>
  </si>
  <si>
    <t>Припасовка и наложение ортодонтического аппарата комбинированного действия</t>
  </si>
  <si>
    <t>А23.07.003.3</t>
  </si>
  <si>
    <t>функционального действия</t>
  </si>
  <si>
    <t>Припасовка и наложение ортодонтического аппарата функционального действия</t>
  </si>
  <si>
    <t>А23.07.003.2</t>
  </si>
  <si>
    <t>механического действия</t>
  </si>
  <si>
    <t>Припасовка и наложение ортодонтического аппарата механического действия</t>
  </si>
  <si>
    <t>А23.07.003.1</t>
  </si>
  <si>
    <t>С   расширяющим винтом Бертони</t>
  </si>
  <si>
    <t>0 </t>
  </si>
  <si>
    <t>1 единица</t>
  </si>
  <si>
    <t>Ортодонтическая коррекция съемным ортодонтическим аппаратом   (С   расширяющим винтом Бертони)</t>
  </si>
  <si>
    <t>А16.07.047.2</t>
  </si>
  <si>
    <t>С 1  расширяющим винтом</t>
  </si>
  <si>
    <t>Ортодонтическая коррекция съемным ортодонтическим аппаратом   (С 1  расширяющим винтом)</t>
  </si>
  <si>
    <t>А16.07.047.1</t>
  </si>
  <si>
    <t>Снятие, постановка коронки, кольца ортодонтических</t>
  </si>
  <si>
    <t>А16.07.053.001</t>
  </si>
  <si>
    <t>височного нижнечелюстного сустава справа и слева</t>
  </si>
  <si>
    <t>1 расшифровка</t>
  </si>
  <si>
    <r>
      <t>Описание и интерпретация компьютернойтомограммы</t>
    </r>
    <r>
      <rPr>
        <i/>
        <sz val="14"/>
        <rFont val="Times New Roman"/>
        <family val="1"/>
      </rPr>
      <t>(ВНЧС)</t>
    </r>
  </si>
  <si>
    <t>А06.30.002.2</t>
  </si>
  <si>
    <t>описание</t>
  </si>
  <si>
    <t>Описание и интерпретация рентгенологического изображение кисти</t>
  </si>
  <si>
    <t>А06.03.002.1</t>
  </si>
  <si>
    <t>Расчет ТРГ</t>
  </si>
  <si>
    <t>Краниометрическое исследование и определение  категорий размеров одного черепа</t>
  </si>
  <si>
    <t>B03.045.017</t>
  </si>
  <si>
    <t>манипуляция</t>
  </si>
  <si>
    <t>Определение прикуса</t>
  </si>
  <si>
    <t>А02.07.006</t>
  </si>
  <si>
    <t>+гравировка и разметка моделей, выбор конструкции ортодонтического аппарата</t>
  </si>
  <si>
    <t>Исследование   2 моделей</t>
  </si>
  <si>
    <t xml:space="preserve">Исследование на диагностических моделях челюстей  </t>
  </si>
  <si>
    <t>A02.07.010</t>
  </si>
  <si>
    <t>Изготовление контрольной модели</t>
  </si>
  <si>
    <t>А23.07.002.027</t>
  </si>
  <si>
    <t>Увеличение времени за счет двухслойного слепка</t>
  </si>
  <si>
    <t>слепок</t>
  </si>
  <si>
    <r>
      <t xml:space="preserve">Снятие оттиска с одной челюсти </t>
    </r>
    <r>
      <rPr>
        <i/>
        <sz val="14"/>
        <rFont val="Times New Roman"/>
        <family val="1"/>
      </rPr>
      <t>силиконовым материалом</t>
    </r>
  </si>
  <si>
    <r>
      <t>A02.07.010.001</t>
    </r>
    <r>
      <rPr>
        <sz val="14"/>
        <rFont val="Times New Roman"/>
        <family val="1"/>
      </rPr>
      <t>.</t>
    </r>
    <r>
      <rPr>
        <b/>
        <sz val="14"/>
        <rFont val="Times New Roman"/>
        <family val="1"/>
      </rPr>
      <t>2</t>
    </r>
  </si>
  <si>
    <t>альгинатным оттискным материалом</t>
  </si>
  <si>
    <r>
      <t xml:space="preserve">Снятие оттиска с одной челюсти </t>
    </r>
    <r>
      <rPr>
        <i/>
        <sz val="14"/>
        <rFont val="Times New Roman"/>
        <family val="1"/>
      </rPr>
      <t>альгинатным оттискным материалом</t>
    </r>
  </si>
  <si>
    <r>
      <t>A02.07.010.001</t>
    </r>
    <r>
      <rPr>
        <sz val="14"/>
        <rFont val="Times New Roman"/>
        <family val="1"/>
      </rPr>
      <t>.</t>
    </r>
    <r>
      <rPr>
        <b/>
        <sz val="14"/>
        <rFont val="Times New Roman"/>
        <family val="1"/>
      </rPr>
      <t>1</t>
    </r>
  </si>
  <si>
    <t>исследование</t>
  </si>
  <si>
    <r>
      <t xml:space="preserve">Антропометрические исследования с  </t>
    </r>
    <r>
      <rPr>
        <i/>
        <sz val="14"/>
        <rFont val="Times New Roman"/>
        <family val="1"/>
      </rPr>
      <t>измерением для LM -активватора</t>
    </r>
  </si>
  <si>
    <t>А02.07.004.2</t>
  </si>
  <si>
    <t>Антропометрические исследования</t>
  </si>
  <si>
    <t>А02.07.004.1</t>
  </si>
  <si>
    <t>прием</t>
  </si>
  <si>
    <t>Прием (осмотр, консультация)  врача-ортодонта повторный</t>
  </si>
  <si>
    <t>В01.063.002</t>
  </si>
  <si>
    <t>Прием (осмотр, консультация) врача-ортодонта первичный</t>
  </si>
  <si>
    <t>В01.063.001</t>
  </si>
  <si>
    <t>Врачебные манипуляции</t>
  </si>
  <si>
    <t>Примечание</t>
  </si>
  <si>
    <t>УЕТ ОМС</t>
  </si>
  <si>
    <t>УЕТ врача</t>
  </si>
  <si>
    <t>Наименование услуги</t>
  </si>
  <si>
    <t>КЛАССИФИКАТОР  НА ОРТОДОНТИЧЕСКИЕ ВИДЫ УСЛУГ</t>
  </si>
  <si>
    <t>А 12.07.001</t>
  </si>
  <si>
    <t>Витальное окрашивание твёрдых тканей зуба</t>
  </si>
  <si>
    <t>А 16.07.095.001</t>
  </si>
  <si>
    <t>Остановка луночного кровотечения без наложения швов методом тампонады</t>
  </si>
  <si>
    <t>А 16.07.095.002</t>
  </si>
  <si>
    <t>Остановка луночного кровотечения без наложения швов с использованием гемостатических материалов</t>
  </si>
  <si>
    <t xml:space="preserve">Восстановление зуба пломбой с нарушением контактного пункта II, III класс по Блэку с использованием стоматологических цементов </t>
  </si>
  <si>
    <t>А 16.07.002.002</t>
  </si>
  <si>
    <t>Восстановление зуба пломбой  I, V, VI класс по Блэку с использованием материалов химического отверждения</t>
  </si>
  <si>
    <t>А 16.07.002.004</t>
  </si>
  <si>
    <t>Восстановление зуба пломбой  II, III класс по Блэку с использованием материалов химического отверждения</t>
  </si>
  <si>
    <t>А 16. 07.002.006</t>
  </si>
  <si>
    <t>Восстановление зуба пломбой  IV класс по Блэку с использованием материалов химического отверждения</t>
  </si>
  <si>
    <t>А 12.07.003</t>
  </si>
  <si>
    <t>А 12.07.004</t>
  </si>
  <si>
    <t xml:space="preserve">А 11.07.026   </t>
  </si>
  <si>
    <t>Взятие образца биологического материала из очагов поражения органов рта</t>
  </si>
  <si>
    <t>А 11.01.019</t>
  </si>
  <si>
    <t>Получение соскоба с эрозивно-язвенных элементов кожи и слизистых оболочек</t>
  </si>
  <si>
    <t>А 11.07.023</t>
  </si>
  <si>
    <t>Применение метода серебрения зуба</t>
  </si>
  <si>
    <t>Наложение лечебной повязки при заболеваниях слизистой оболочки полости рта и пародонта в области одной челюсти</t>
  </si>
  <si>
    <t xml:space="preserve">Наложение повязки при операциях в полости рта </t>
  </si>
  <si>
    <t>А 15.07.003</t>
  </si>
  <si>
    <t>Наложение повязки при операциях в челюстно-лицевой области</t>
  </si>
  <si>
    <t>А 16.01.004</t>
  </si>
  <si>
    <t>Хирургическая обработка раны или инфицированной ткани</t>
  </si>
  <si>
    <t>А 16.01.008</t>
  </si>
  <si>
    <t>Сшивание кожи и подкожной клетчатки</t>
  </si>
  <si>
    <t>А 16.04.018</t>
  </si>
  <si>
    <t>Вправление вывиха сустава</t>
  </si>
  <si>
    <t>А 16.07.026</t>
  </si>
  <si>
    <t>Гингивэктомия</t>
  </si>
  <si>
    <t>А 15.03.007</t>
  </si>
  <si>
    <t>Наложение шины при переломах костей</t>
  </si>
  <si>
    <t>1 челюсть</t>
  </si>
  <si>
    <t>Пломбирование корневого канала зуба гуттаперчивыми штифтами</t>
  </si>
  <si>
    <t>А 16.07.009</t>
  </si>
  <si>
    <t>Пульпотомия (ампутация коронковой пульпы)</t>
  </si>
  <si>
    <t>А 16.07.010</t>
  </si>
  <si>
    <t>Экстирпация пульпы</t>
  </si>
  <si>
    <t>Стоматология</t>
  </si>
  <si>
    <t>Профилактический прием</t>
  </si>
  <si>
    <t>Комплексное лечение заболеваний пародонта</t>
  </si>
  <si>
    <t>Восстановление зуба пломбой</t>
  </si>
  <si>
    <t>Эндодонтические виды работ</t>
  </si>
  <si>
    <r>
      <rPr>
        <b/>
        <sz val="16"/>
        <color indexed="8"/>
        <rFont val="Times New Roman"/>
        <family val="1"/>
      </rPr>
      <t xml:space="preserve">УЕТ </t>
    </r>
    <r>
      <rPr>
        <sz val="16"/>
        <color indexed="8"/>
        <rFont val="Times New Roman"/>
        <family val="1"/>
      </rPr>
      <t>врача на платном приеме (10 мин-1 УЕТ)</t>
    </r>
  </si>
  <si>
    <t xml:space="preserve"> Аппликационная анестезия </t>
  </si>
  <si>
    <t xml:space="preserve">Профессиональная гигиена полости рта и зубов </t>
  </si>
  <si>
    <r>
      <rPr>
        <b/>
        <sz val="16"/>
        <rFont val="Times New Roman"/>
        <family val="1"/>
      </rPr>
      <t>А 16.07.002.001</t>
    </r>
  </si>
  <si>
    <r>
      <rPr>
        <b/>
        <sz val="16"/>
        <rFont val="Times New Roman"/>
        <family val="1"/>
      </rPr>
      <t>А 16.07.002.001.</t>
    </r>
    <r>
      <rPr>
        <i/>
        <sz val="16"/>
        <rFont val="Times New Roman"/>
        <family val="1"/>
      </rPr>
      <t>1</t>
    </r>
  </si>
  <si>
    <r>
      <rPr>
        <b/>
        <sz val="16"/>
        <rFont val="Times New Roman"/>
        <family val="1"/>
      </rPr>
      <t>А 16. 07.002.010</t>
    </r>
  </si>
  <si>
    <r>
      <t>А 16.07.002.003.</t>
    </r>
    <r>
      <rPr>
        <i/>
        <sz val="16"/>
        <rFont val="Times New Roman"/>
        <family val="1"/>
      </rPr>
      <t>1</t>
    </r>
  </si>
  <si>
    <r>
      <rPr>
        <b/>
        <sz val="16"/>
        <rFont val="Times New Roman"/>
        <family val="1"/>
      </rPr>
      <t>А 16.07.002.011</t>
    </r>
  </si>
  <si>
    <r>
      <rPr>
        <b/>
        <sz val="16"/>
        <rFont val="Times New Roman"/>
        <family val="1"/>
      </rPr>
      <t>А 16.07.002.009</t>
    </r>
    <r>
      <rPr>
        <i/>
        <sz val="16"/>
        <rFont val="Times New Roman"/>
        <family val="1"/>
      </rPr>
      <t>.1</t>
    </r>
  </si>
  <si>
    <r>
      <t>А 16.07.082.001.</t>
    </r>
    <r>
      <rPr>
        <i/>
        <sz val="16"/>
        <rFont val="Times New Roman"/>
        <family val="1"/>
      </rPr>
      <t>2</t>
    </r>
  </si>
  <si>
    <r>
      <t>А 16.07.082.002.</t>
    </r>
    <r>
      <rPr>
        <i/>
        <sz val="16"/>
        <rFont val="Times New Roman"/>
        <family val="1"/>
      </rPr>
      <t>2</t>
    </r>
  </si>
  <si>
    <t>2 зуб</t>
  </si>
  <si>
    <t xml:space="preserve">Восстановление зуба пломбой  IV класс по Блэку с использованием материалов из фотополимеров </t>
  </si>
  <si>
    <t>Удаление временного зуба</t>
  </si>
  <si>
    <t xml:space="preserve"> Операция удаления ретенированного, дистопированного или сверхкомплектного зуба </t>
  </si>
  <si>
    <t>Определение индексов гигиены полости рта (при повторном посещении)</t>
  </si>
  <si>
    <t>Определение пародонтальных индексов (при повторном посещении)</t>
  </si>
  <si>
    <r>
      <t xml:space="preserve">Электроодонтометрия. </t>
    </r>
    <r>
      <rPr>
        <sz val="16"/>
        <rFont val="Times New Roman"/>
        <family val="1"/>
      </rPr>
      <t>Одонтометрия 1 зуба с использованием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аппарата Digitest </t>
    </r>
  </si>
  <si>
    <r>
      <t xml:space="preserve">Профессиональная гигиена полости рта и зубов </t>
    </r>
    <r>
      <rPr>
        <sz val="16"/>
        <rFont val="Times New Roman"/>
        <family val="1"/>
      </rPr>
      <t xml:space="preserve"> Air-Flow </t>
    </r>
  </si>
  <si>
    <r>
      <t xml:space="preserve">Запечатывание фиссуры зуба герметиком </t>
    </r>
    <r>
      <rPr>
        <sz val="16"/>
        <rFont val="Times New Roman"/>
        <family val="1"/>
      </rPr>
      <t>химического отверждения</t>
    </r>
  </si>
  <si>
    <r>
      <t xml:space="preserve">Запечатывание фиссуры зуба герметиком </t>
    </r>
    <r>
      <rPr>
        <sz val="16"/>
        <rFont val="Times New Roman"/>
        <family val="1"/>
      </rPr>
      <t xml:space="preserve">фотоотверждаемым </t>
    </r>
  </si>
  <si>
    <r>
      <t xml:space="preserve">Профессиональная гигиена полости рта и зубов </t>
    </r>
    <r>
      <rPr>
        <sz val="16"/>
        <rFont val="Times New Roman"/>
        <family val="1"/>
      </rPr>
      <t xml:space="preserve">с использованием методики системы Air-Flow </t>
    </r>
  </si>
  <si>
    <r>
      <t xml:space="preserve">Временное шинирование при заболеваниях пародонта  </t>
    </r>
    <r>
      <rPr>
        <sz val="16"/>
        <rFont val="Times New Roman"/>
        <family val="1"/>
      </rPr>
      <t>с применением стекловолоконных материалов и фотокомпозита</t>
    </r>
  </si>
  <si>
    <r>
      <t xml:space="preserve">Восстановление зуба пломбой  I, V, VI класс по Блэку с использованием стоматологических цементов </t>
    </r>
    <r>
      <rPr>
        <sz val="16"/>
        <rFont val="Times New Roman"/>
        <family val="1"/>
      </rPr>
      <t xml:space="preserve"> </t>
    </r>
  </si>
  <si>
    <r>
      <t xml:space="preserve"> Удаление внутриканального штифта/вкладки </t>
    </r>
    <r>
      <rPr>
        <sz val="16"/>
        <rFont val="Times New Roman"/>
        <family val="1"/>
      </rPr>
      <t>с помощью ультразвука</t>
    </r>
  </si>
  <si>
    <r>
      <t xml:space="preserve">Фиксация внутриканального штифта/вкладки </t>
    </r>
    <r>
      <rPr>
        <sz val="16"/>
        <rFont val="Times New Roman"/>
        <family val="1"/>
      </rPr>
      <t>с использованием  цементов двойного отверждения</t>
    </r>
  </si>
  <si>
    <r>
      <t xml:space="preserve">Инструментальная и медикаментозная обработка  хорошо проходимого корневого канала </t>
    </r>
    <r>
      <rPr>
        <sz val="16"/>
        <rFont val="Times New Roman"/>
        <family val="1"/>
      </rPr>
      <t>с применением никель-титановых инструментов и эндомотора</t>
    </r>
  </si>
  <si>
    <r>
      <t xml:space="preserve">Инструментальная и медикаментозная обработка  хорошо проходимого корневого канала </t>
    </r>
    <r>
      <rPr>
        <sz val="16"/>
        <rFont val="Times New Roman"/>
        <family val="1"/>
      </rPr>
      <t>с применением ультразвука</t>
    </r>
  </si>
  <si>
    <r>
      <t xml:space="preserve">Инструментальная и медикаментозная обработка плохо проходимого корневого канала </t>
    </r>
    <r>
      <rPr>
        <sz val="16"/>
        <rFont val="Times New Roman"/>
        <family val="1"/>
      </rPr>
      <t>с применением никель-титановых инструментов и эндомотора</t>
    </r>
  </si>
  <si>
    <r>
      <t xml:space="preserve">Распломбировка корневого канала ранее леченного пастой </t>
    </r>
    <r>
      <rPr>
        <sz val="16"/>
        <rFont val="Times New Roman"/>
        <family val="1"/>
      </rPr>
      <t>с применением никель-титановых инструментов</t>
    </r>
  </si>
  <si>
    <r>
      <t xml:space="preserve">Распломбировка корневого канала ранее леченного фосфат-цементом/резорцин-формальдегидным методом </t>
    </r>
    <r>
      <rPr>
        <sz val="16"/>
        <rFont val="Times New Roman"/>
        <family val="1"/>
      </rPr>
      <t>с применением никель-титановых инструментов</t>
    </r>
  </si>
  <si>
    <r>
      <t xml:space="preserve">Пломбирование корневого канала зуба гуттаперчивыми штифтами </t>
    </r>
    <r>
      <rPr>
        <sz val="16"/>
        <rFont val="Times New Roman"/>
        <family val="1"/>
      </rPr>
      <t>методом трехмерной обтурации</t>
    </r>
  </si>
  <si>
    <r>
      <t xml:space="preserve"> Удаление зуба сложное с разъединением корней </t>
    </r>
    <r>
      <rPr>
        <sz val="16"/>
        <rFont val="Times New Roman"/>
        <family val="1"/>
      </rPr>
      <t>Фрагментированное удаление зуба</t>
    </r>
  </si>
  <si>
    <r>
      <t xml:space="preserve">Резекция верхушки корня </t>
    </r>
    <r>
      <rPr>
        <sz val="16"/>
        <rFont val="Times New Roman"/>
        <family val="1"/>
      </rPr>
      <t>(1 зуба)</t>
    </r>
  </si>
  <si>
    <r>
      <t xml:space="preserve">Резекция верхушки корня </t>
    </r>
    <r>
      <rPr>
        <sz val="16"/>
        <rFont val="Times New Roman"/>
        <family val="1"/>
      </rPr>
      <t>(2-х и более зубов)</t>
    </r>
  </si>
  <si>
    <r>
      <t>Удаление атеромы</t>
    </r>
    <r>
      <rPr>
        <sz val="16"/>
        <rFont val="Times New Roman"/>
        <family val="1"/>
      </rPr>
      <t>, доброкачественных новообразований мягких тканей полости рта (папиллома, фиброма, эпулис, ретенционная киста)</t>
    </r>
  </si>
  <si>
    <r>
      <t>Пластика уздечки языка</t>
    </r>
    <r>
      <rPr>
        <sz val="16"/>
        <rFont val="Times New Roman"/>
        <family val="1"/>
      </rPr>
      <t xml:space="preserve"> </t>
    </r>
  </si>
  <si>
    <r>
      <t xml:space="preserve">Остеотомия челюсти </t>
    </r>
    <r>
      <rPr>
        <sz val="16"/>
        <rFont val="Times New Roman"/>
        <family val="1"/>
      </rPr>
      <t>(в области 2 зубов)</t>
    </r>
  </si>
  <si>
    <r>
      <t xml:space="preserve">Вестибулопластика </t>
    </r>
    <r>
      <rPr>
        <sz val="16"/>
        <rFont val="Times New Roman"/>
        <family val="1"/>
      </rPr>
      <t>(в области 6 зубов)</t>
    </r>
  </si>
  <si>
    <r>
      <t xml:space="preserve">Приём (осмотр, консультация) зубного врача первичный. </t>
    </r>
    <r>
      <rPr>
        <sz val="16"/>
        <rFont val="Times New Roman"/>
        <family val="1"/>
      </rPr>
      <t>КПУ, КПИ, ИГ, состояние слизистой оболочки, прикус, составление плана лечения.</t>
    </r>
  </si>
  <si>
    <t xml:space="preserve">Приём (осмотр, консультация) зубного врача повторный. </t>
  </si>
  <si>
    <r>
      <t xml:space="preserve">Профессиональное отбеливание зубов девитальных    </t>
    </r>
    <r>
      <rPr>
        <sz val="16"/>
        <rFont val="Times New Roman"/>
        <family val="1"/>
      </rPr>
      <t xml:space="preserve"> (снятие и наложение пломбы)</t>
    </r>
  </si>
  <si>
    <t>Ультразвуковая обработка пародонтального кармана в области зуба / имплантата</t>
  </si>
  <si>
    <r>
      <t>Восстановление зуба пломбой  IV класс по Блэку с использованием материалов из фотополимеров.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Изготовление виниров прямым способом.</t>
    </r>
  </si>
  <si>
    <t>Восстановление зуба пломбировочными материалами с использованием анкерных штифтов            Восстановление коронки зуба более 2/3 прямым способом с применением фотокомпозита на штифте</t>
  </si>
  <si>
    <t xml:space="preserve">Избирательное полирование зуба при повторном посещении </t>
  </si>
  <si>
    <r>
      <t>Снятие временной пломбы /</t>
    </r>
    <r>
      <rPr>
        <b/>
        <sz val="16"/>
        <color indexed="8"/>
        <rFont val="Times New Roman"/>
        <family val="1"/>
      </rPr>
      <t xml:space="preserve"> постоянной пломбы</t>
    </r>
  </si>
  <si>
    <t>Наложение латексной завесы</t>
  </si>
  <si>
    <r>
      <t>Распломбировка корневого канала ранее леченного пастой</t>
    </r>
    <r>
      <rPr>
        <sz val="16"/>
        <rFont val="Times New Roman"/>
        <family val="1"/>
      </rPr>
      <t xml:space="preserve"> под штифт / культевую вкладку с применением никель-титановых инструментов</t>
    </r>
  </si>
  <si>
    <r>
      <t xml:space="preserve">Распломбировка корневого канала ранее леченного фосфат-цементом/резорцин-формальдегидным методом </t>
    </r>
    <r>
      <rPr>
        <sz val="16"/>
        <rFont val="Times New Roman"/>
        <family val="1"/>
      </rPr>
      <t xml:space="preserve">под штифт, культевую вкладку с применением никель-титановых инструментов </t>
    </r>
  </si>
  <si>
    <t xml:space="preserve"> Удаление стенки зуба</t>
  </si>
  <si>
    <t xml:space="preserve"> Удаление зуба сложное с разъединением корней Завершение неоконченного удаления зуба, проведенного в другой клинике</t>
  </si>
  <si>
    <t>Детский прием</t>
  </si>
  <si>
    <t>B01.064.003</t>
  </si>
  <si>
    <r>
      <rPr>
        <b/>
        <sz val="16"/>
        <rFont val="Times New Roman"/>
        <family val="1"/>
      </rPr>
      <t>Приём (осмотр, консультация) врача-стоматолога детского первичный</t>
    </r>
    <r>
      <rPr>
        <sz val="16"/>
        <rFont val="Times New Roman"/>
        <family val="1"/>
      </rPr>
      <t>. КПУ, КПИ, ИГ, состояние слизистой оболочки, прикус, составление плана лечения.</t>
    </r>
  </si>
  <si>
    <t xml:space="preserve">Приём (осмотр, консультация) врача-стоматолога детского повторный. </t>
  </si>
  <si>
    <t>B01.064.004</t>
  </si>
  <si>
    <r>
      <t xml:space="preserve">Приём (осмотр, консультация) гигиениста стоматологического первичный. </t>
    </r>
    <r>
      <rPr>
        <sz val="16"/>
        <rFont val="Times New Roman"/>
        <family val="1"/>
      </rPr>
      <t xml:space="preserve">КПУ, КПИ, ИГ, состояние слизистой оболочки, прикус </t>
    </r>
  </si>
  <si>
    <t xml:space="preserve">Приём (осмотр, консультация) гигиениста стоматологического повторный. </t>
  </si>
  <si>
    <t>B04.064.001</t>
  </si>
  <si>
    <t>Диспансерный приём (осмотр, консультация) врача-стоматолога детского.</t>
  </si>
  <si>
    <t>B04.064.002</t>
  </si>
  <si>
    <t>2 осмотр</t>
  </si>
  <si>
    <t>Профилактический приём (осмотр, консультация) врача-стоматолога детского.</t>
  </si>
  <si>
    <t>Профилактический приём (осмотр, консультация) зубного врача.</t>
  </si>
  <si>
    <t>B04.065.004</t>
  </si>
  <si>
    <t>В01.065.005</t>
  </si>
  <si>
    <t>В01.065.006</t>
  </si>
  <si>
    <t xml:space="preserve">Профессиональная гигиена всей полости рта и зубов у детей </t>
  </si>
  <si>
    <t>Глубокое фторирование эмали зуба при гиперестезии зубов и очаговой деминерализации</t>
  </si>
  <si>
    <t>Глубокое фторирование эмали зуба                                      фторлак или фторгель импортного производства (не зависимо от количества зубов)</t>
  </si>
  <si>
    <r>
      <t xml:space="preserve">Запечатывание фиссуры зуба герметиком </t>
    </r>
    <r>
      <rPr>
        <sz val="16"/>
        <rFont val="Times New Roman"/>
        <family val="1"/>
      </rPr>
      <t>химического отверждения с предварительным ее расшлифовыванием</t>
    </r>
  </si>
  <si>
    <r>
      <t xml:space="preserve">Запечатывание фиссуры зуба герметиком </t>
    </r>
    <r>
      <rPr>
        <sz val="16"/>
        <rFont val="Times New Roman"/>
        <family val="1"/>
      </rPr>
      <t>фотоотверждаемым с предварительным ее расшлифовыванием</t>
    </r>
  </si>
  <si>
    <t>Сошлифовывание твердых тканей зуба при кариесе в стадии пятна</t>
  </si>
  <si>
    <t xml:space="preserve">Восстановление зуба пломбой  I, V, VI класс по Блэку с использованием стоматологических цементов двойного отверждения </t>
  </si>
  <si>
    <t xml:space="preserve">Восстановление зуба пломбой с нарушением контактного пункта II, III класс по Блэку с использованием стоматологических цементов двойного отверждения </t>
  </si>
  <si>
    <t xml:space="preserve">Восстановление зуба, IV класс по Блэку с использованием стеклоиономерных цементов двойного отверждения </t>
  </si>
  <si>
    <t>15.2.9.2</t>
  </si>
  <si>
    <t>15.2.9.4</t>
  </si>
  <si>
    <t>15.2.9.1.1</t>
  </si>
  <si>
    <t>15.2.9.1.2</t>
  </si>
  <si>
    <t>15.2.9.1.3</t>
  </si>
  <si>
    <t>15.2.9.1.4</t>
  </si>
  <si>
    <t>15.2.9.1.5</t>
  </si>
  <si>
    <t>15.2.9.1.6</t>
  </si>
  <si>
    <t>15.2.9.1.7</t>
  </si>
  <si>
    <t>15.2.9.1.8</t>
  </si>
  <si>
    <t>15.2.9.1.9</t>
  </si>
  <si>
    <t>15.2.9.1.10</t>
  </si>
  <si>
    <t>15.2.9.1.11</t>
  </si>
  <si>
    <t>15.2.9.1.12</t>
  </si>
  <si>
    <t>15.2.9.1.13</t>
  </si>
  <si>
    <t>15.2.9.1.14</t>
  </si>
  <si>
    <t>15.2.9.1.15</t>
  </si>
  <si>
    <t>15.2.9.1.16</t>
  </si>
  <si>
    <t>15.2.9.1.17</t>
  </si>
  <si>
    <t>15.2.9.1.18</t>
  </si>
  <si>
    <t>15.2.9.1.19</t>
  </si>
  <si>
    <t>15.2.9.1.20</t>
  </si>
  <si>
    <t>15.2.9.1.21</t>
  </si>
  <si>
    <t>15.2.9.1.22</t>
  </si>
  <si>
    <t>15.2.9.2.1</t>
  </si>
  <si>
    <t>15.2.9.2.2</t>
  </si>
  <si>
    <t>15.2.9.2.3</t>
  </si>
  <si>
    <t>15.2.9.2.4</t>
  </si>
  <si>
    <t>15.2.9.2.5</t>
  </si>
  <si>
    <t>15.2.9.2.6</t>
  </si>
  <si>
    <t>15.2.9.2.7</t>
  </si>
  <si>
    <t>15.2.9.3.1</t>
  </si>
  <si>
    <t>15.2.9.3.2</t>
  </si>
  <si>
    <t>15.2.9.3.3</t>
  </si>
  <si>
    <t>15.2.9.3.4</t>
  </si>
  <si>
    <t>15.2.9.3.5</t>
  </si>
  <si>
    <t>15.2.9.3.6</t>
  </si>
  <si>
    <t>15.2.9.3.7</t>
  </si>
  <si>
    <t>15.2.9.3.8</t>
  </si>
  <si>
    <t>15.2.9.3.9</t>
  </si>
  <si>
    <t>15.2.9.3.10</t>
  </si>
  <si>
    <t>15.2.9.3.11</t>
  </si>
  <si>
    <t>15.2.9.3.12</t>
  </si>
  <si>
    <t>15.2.9.3.13</t>
  </si>
  <si>
    <t>15.2.9.3.14</t>
  </si>
  <si>
    <t>15.2.9.3.15</t>
  </si>
  <si>
    <t>15.2.9.3.16</t>
  </si>
  <si>
    <t>15.2.9.3.17</t>
  </si>
  <si>
    <t>15.2.9.3.18</t>
  </si>
  <si>
    <t>15.2.9.3.19</t>
  </si>
  <si>
    <t>15.2.9.3.20</t>
  </si>
  <si>
    <t>15.2.9.3.21</t>
  </si>
  <si>
    <t>15.2.9.3.22</t>
  </si>
  <si>
    <t>15.2.9.3.23</t>
  </si>
  <si>
    <t>15.2.9.3.24</t>
  </si>
  <si>
    <t>15.2.9.3.25</t>
  </si>
  <si>
    <t>15.2.9.3.26</t>
  </si>
  <si>
    <t>15.2.9.4.1</t>
  </si>
  <si>
    <t>15.2.9.4.2</t>
  </si>
  <si>
    <t>15.2.9.4.3</t>
  </si>
  <si>
    <t>15.2.9.4.4</t>
  </si>
  <si>
    <t>Цена</t>
  </si>
  <si>
    <t>Код услуги по прейскуранту</t>
  </si>
  <si>
    <t>Наименование услуг с примечаниями</t>
  </si>
  <si>
    <t>Утверждаю</t>
  </si>
  <si>
    <t>Главный врач ГБУЗ СО "ССП№3"</t>
  </si>
  <si>
    <t>___________________Тлустенко В.П</t>
  </si>
  <si>
    <t xml:space="preserve"> "        "____________2020 год</t>
  </si>
  <si>
    <t>Прейскурант 1</t>
  </si>
  <si>
    <t xml:space="preserve">                                           на услуги амбулаторного</t>
  </si>
  <si>
    <t xml:space="preserve">                        Детского стоматологического отделения по платным услугам</t>
  </si>
  <si>
    <t>Ведущий экономист                                           О.В.Герфорт</t>
  </si>
  <si>
    <t>52.</t>
  </si>
  <si>
    <t>52.2.</t>
  </si>
  <si>
    <t>52.2.1.</t>
  </si>
  <si>
    <t>52.2.1.1.</t>
  </si>
  <si>
    <t>52.2.1.2.</t>
  </si>
  <si>
    <t>52.2.1.3.</t>
  </si>
  <si>
    <t>52.2.1.4.</t>
  </si>
  <si>
    <t>52.2.1.5.</t>
  </si>
  <si>
    <t>52.2.1.6.</t>
  </si>
  <si>
    <t>52.2.1.7.</t>
  </si>
  <si>
    <t>52.2.1.8.</t>
  </si>
  <si>
    <t>52.2.1.9.</t>
  </si>
  <si>
    <t>52.2.1.10.</t>
  </si>
  <si>
    <t>52.2.1.11.</t>
  </si>
  <si>
    <t>52.2.1.13.</t>
  </si>
  <si>
    <t>52.2.1.14.</t>
  </si>
  <si>
    <t>52.2.1.15.</t>
  </si>
  <si>
    <t>52.2.1.16.</t>
  </si>
  <si>
    <t>52.2.1.17.</t>
  </si>
  <si>
    <t>52.2.1.18.</t>
  </si>
  <si>
    <t>52.2.2.</t>
  </si>
  <si>
    <t>52.2.2.1.</t>
  </si>
  <si>
    <t>52.2.2.2.</t>
  </si>
  <si>
    <t>52.2.2.3.</t>
  </si>
  <si>
    <t>52.2.2.4.</t>
  </si>
  <si>
    <t>52.2.2.5.</t>
  </si>
  <si>
    <t>52.2.2.6.</t>
  </si>
  <si>
    <t>52.2.2.7.</t>
  </si>
  <si>
    <t>52.2.2.8.</t>
  </si>
  <si>
    <t>52.2.2.9.</t>
  </si>
  <si>
    <t>52.2.2.10.</t>
  </si>
  <si>
    <t>52.2.2.11.</t>
  </si>
  <si>
    <t>52.2.2.12.</t>
  </si>
  <si>
    <t>52.2.2.13.</t>
  </si>
  <si>
    <t>52.2.2.14.</t>
  </si>
  <si>
    <t>52.2.3.</t>
  </si>
  <si>
    <t>52.2.3.1.</t>
  </si>
  <si>
    <t>52.2.3.2.</t>
  </si>
  <si>
    <t>52.2.3.3.</t>
  </si>
  <si>
    <t>52.2.3.4.</t>
  </si>
  <si>
    <t>52.2.3.5.</t>
  </si>
  <si>
    <t>52.2.3.6.</t>
  </si>
  <si>
    <t>52.2.3.7.</t>
  </si>
  <si>
    <t>52.2.3.8.</t>
  </si>
  <si>
    <t>52.2.3.9.</t>
  </si>
  <si>
    <t>52.2.3.10.</t>
  </si>
  <si>
    <t>52.2.3.11.</t>
  </si>
  <si>
    <t>52.2.3.12.</t>
  </si>
  <si>
    <t>52.2.3.13.</t>
  </si>
  <si>
    <t>52.2.3.14.</t>
  </si>
  <si>
    <t>52.2.3.16.</t>
  </si>
  <si>
    <t>52.2.3.17.</t>
  </si>
  <si>
    <t>52.2.3.18.</t>
  </si>
  <si>
    <t>52.2.4.</t>
  </si>
  <si>
    <t>52.2.4.1.</t>
  </si>
  <si>
    <t>52.2.4.2.</t>
  </si>
  <si>
    <t>52.2.4.3.</t>
  </si>
  <si>
    <t>52.2.4.4.</t>
  </si>
  <si>
    <t>52.2.4.5.</t>
  </si>
  <si>
    <t>52.2.4.6.</t>
  </si>
  <si>
    <t>52.2.4.7.</t>
  </si>
  <si>
    <t>52.2.4.8.</t>
  </si>
  <si>
    <t>52.2.4.9.</t>
  </si>
  <si>
    <t>52.2.4.10.</t>
  </si>
  <si>
    <t>52.2.4.11.</t>
  </si>
  <si>
    <t>52.2.4.12.</t>
  </si>
  <si>
    <t>52.2.4.13.</t>
  </si>
  <si>
    <t>52.2.4.14.</t>
  </si>
  <si>
    <t>52.2.4.15.</t>
  </si>
  <si>
    <t>52.2.4.16.</t>
  </si>
  <si>
    <t>52.2.4.17.</t>
  </si>
  <si>
    <t>52.2.4.18.</t>
  </si>
  <si>
    <t>52.2.4.19.</t>
  </si>
  <si>
    <t>52.2.5.</t>
  </si>
  <si>
    <t>52.2.5.1.</t>
  </si>
  <si>
    <t>52.2.5.2.</t>
  </si>
  <si>
    <t>52.2.5.3.</t>
  </si>
  <si>
    <t>52.2.5.4.</t>
  </si>
  <si>
    <t>52.2.5.5.</t>
  </si>
  <si>
    <t>52.2.5.6.</t>
  </si>
  <si>
    <t>52.2.5.13.</t>
  </si>
  <si>
    <t>52.2.5.14.</t>
  </si>
  <si>
    <t>52.2.5.15.</t>
  </si>
  <si>
    <t>52.2.7.</t>
  </si>
  <si>
    <t>52.2.7.1.</t>
  </si>
  <si>
    <t>52.2.7.2.</t>
  </si>
  <si>
    <t>52.2.7.3.</t>
  </si>
  <si>
    <t>52.2.7.4.</t>
  </si>
  <si>
    <t>52.2.7.5.</t>
  </si>
  <si>
    <t>52.2.7.6.</t>
  </si>
  <si>
    <t>52.2.7.7.</t>
  </si>
  <si>
    <t>52.2.7.8.</t>
  </si>
  <si>
    <t>52.2.7.9.</t>
  </si>
  <si>
    <t>52.2.7.10.</t>
  </si>
  <si>
    <t>52.2.7.11.</t>
  </si>
  <si>
    <t>52.2.7.12.</t>
  </si>
  <si>
    <t>52.2.7.13.</t>
  </si>
  <si>
    <t>52.2.7.14.</t>
  </si>
  <si>
    <t>52.2.7.15.</t>
  </si>
  <si>
    <t>52.2.7.16.</t>
  </si>
  <si>
    <t>52.2.7.17.</t>
  </si>
  <si>
    <t>52.2.7.19.</t>
  </si>
  <si>
    <t>52.2.7.20.</t>
  </si>
  <si>
    <t>52.2.7.21.</t>
  </si>
  <si>
    <t>52.2.7.22.</t>
  </si>
  <si>
    <t>52.2.7.23.</t>
  </si>
  <si>
    <t>52.2.7.24.</t>
  </si>
  <si>
    <t>52.2.7.25.</t>
  </si>
  <si>
    <t>52.2.7.26.</t>
  </si>
  <si>
    <t>52.2.7.27.</t>
  </si>
  <si>
    <t>52.2.7.28.</t>
  </si>
  <si>
    <t>52.2.7.29.</t>
  </si>
  <si>
    <t>52.2.7.30.</t>
  </si>
  <si>
    <t>52.2.7.31.</t>
  </si>
  <si>
    <t>52.2.7.32.</t>
  </si>
  <si>
    <t>52.2.7.33.</t>
  </si>
  <si>
    <t>52.2.7.34.</t>
  </si>
  <si>
    <t>52.2.7.35.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</si>
</sst>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sz val="16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MS Sans Serif"/>
      <family val="2"/>
    </font>
    <font>
      <sz val="16"/>
      <name val="Times New Roman"/>
      <family val="1"/>
    </font>
    <font>
      <i/>
      <sz val="14"/>
      <name val="Times New Roman"/>
      <family val="1"/>
    </font>
    <font>
      <i/>
      <sz val="16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i/>
      <sz val="16"/>
      <color indexed="8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10"/>
      <name val="Times New Roman"/>
      <family val="1"/>
    </font>
    <font>
      <sz val="11"/>
      <color indexed="22"/>
      <name val="Calibri"/>
      <family val="2"/>
    </font>
    <font>
      <sz val="16"/>
      <color indexed="22"/>
      <name val="Calibri"/>
      <family val="2"/>
    </font>
    <font>
      <b/>
      <sz val="16"/>
      <color indexed="8"/>
      <name val="Calibri"/>
      <family val="2"/>
    </font>
    <font>
      <b/>
      <sz val="16"/>
      <color indexed="22"/>
      <name val="Calibri"/>
      <family val="2"/>
    </font>
    <font>
      <b/>
      <sz val="16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sz val="16"/>
      <color theme="1"/>
      <name val="Calibri"/>
      <family val="2"/>
    </font>
    <font>
      <sz val="16"/>
      <color rgb="FFFF0000"/>
      <name val="Times New Roman"/>
      <family val="1"/>
    </font>
    <font>
      <sz val="16"/>
      <color theme="1"/>
      <name val="Times New Roman"/>
      <family val="1"/>
    </font>
    <font>
      <sz val="11"/>
      <color theme="0" tint="-0.1499900072813034"/>
      <name val="Calibri"/>
      <family val="2"/>
    </font>
    <font>
      <sz val="16"/>
      <color theme="0" tint="-0.1499900072813034"/>
      <name val="Calibri"/>
      <family val="2"/>
    </font>
    <font>
      <b/>
      <sz val="16"/>
      <color rgb="FF000000"/>
      <name val="Times New Roman"/>
      <family val="1"/>
    </font>
    <font>
      <b/>
      <sz val="16"/>
      <color theme="1"/>
      <name val="Calibri"/>
      <family val="2"/>
    </font>
    <font>
      <b/>
      <sz val="16"/>
      <color theme="0" tint="-0.1499900072813034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8" fillId="0" borderId="0" applyNumberFormat="0" applyFon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7" fillId="0" borderId="10" xfId="0" applyNumberFormat="1" applyFont="1" applyBorder="1" applyAlignment="1">
      <alignment horizontal="right" vertical="center"/>
    </xf>
    <xf numFmtId="49" fontId="7" fillId="33" borderId="10" xfId="0" applyNumberFormat="1" applyFont="1" applyFill="1" applyBorder="1" applyAlignment="1">
      <alignment horizontal="right" vertical="center"/>
    </xf>
    <xf numFmtId="49" fontId="7" fillId="0" borderId="11" xfId="0" applyNumberFormat="1" applyFont="1" applyFill="1" applyBorder="1" applyAlignment="1">
      <alignment horizontal="right" vertical="center"/>
    </xf>
    <xf numFmtId="49" fontId="9" fillId="0" borderId="11" xfId="0" applyNumberFormat="1" applyFont="1" applyFill="1" applyBorder="1" applyAlignment="1">
      <alignment horizontal="right" vertical="center"/>
    </xf>
    <xf numFmtId="0" fontId="7" fillId="33" borderId="12" xfId="67" applyFont="1" applyFill="1" applyBorder="1" applyAlignment="1">
      <alignment horizontal="left" vertical="center" wrapText="1"/>
    </xf>
    <xf numFmtId="0" fontId="7" fillId="0" borderId="12" xfId="67" applyFont="1" applyFill="1" applyBorder="1" applyAlignment="1">
      <alignment horizontal="left" vertical="center" wrapText="1"/>
    </xf>
    <xf numFmtId="0" fontId="7" fillId="0" borderId="13" xfId="67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vertical="center" wrapText="1"/>
    </xf>
    <xf numFmtId="0" fontId="7" fillId="0" borderId="14" xfId="67" applyFont="1" applyFill="1" applyBorder="1" applyAlignment="1">
      <alignment horizontal="left" vertical="center" wrapText="1"/>
    </xf>
    <xf numFmtId="0" fontId="0" fillId="33" borderId="0" xfId="0" applyFill="1" applyBorder="1" applyAlignment="1">
      <alignment vertical="center"/>
    </xf>
    <xf numFmtId="0" fontId="65" fillId="0" borderId="0" xfId="0" applyFont="1" applyAlignment="1">
      <alignment/>
    </xf>
    <xf numFmtId="164" fontId="6" fillId="0" borderId="15" xfId="78" applyFont="1" applyFill="1" applyBorder="1" applyAlignment="1">
      <alignment horizontal="right" vertical="top" wrapText="1"/>
    </xf>
    <xf numFmtId="0" fontId="66" fillId="0" borderId="15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13" fillId="0" borderId="15" xfId="0" applyFont="1" applyFill="1" applyBorder="1" applyAlignment="1">
      <alignment vertical="top" wrapText="1"/>
    </xf>
    <xf numFmtId="164" fontId="6" fillId="34" borderId="15" xfId="78" applyFont="1" applyFill="1" applyBorder="1" applyAlignment="1">
      <alignment horizontal="right" vertical="top" wrapText="1"/>
    </xf>
    <xf numFmtId="0" fontId="66" fillId="34" borderId="15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164" fontId="6" fillId="0" borderId="16" xfId="78" applyFont="1" applyFill="1" applyBorder="1" applyAlignment="1">
      <alignment horizontal="right" vertical="top" wrapText="1"/>
    </xf>
    <xf numFmtId="0" fontId="66" fillId="0" borderId="1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/>
    </xf>
    <xf numFmtId="164" fontId="6" fillId="0" borderId="17" xfId="78" applyFont="1" applyFill="1" applyBorder="1" applyAlignment="1">
      <alignment horizontal="right" vertical="top" wrapText="1"/>
    </xf>
    <xf numFmtId="0" fontId="66" fillId="0" borderId="17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vertical="top" wrapText="1"/>
    </xf>
    <xf numFmtId="0" fontId="13" fillId="0" borderId="17" xfId="0" applyFont="1" applyFill="1" applyBorder="1" applyAlignment="1">
      <alignment vertical="top" wrapText="1"/>
    </xf>
    <xf numFmtId="0" fontId="13" fillId="0" borderId="15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justify" vertical="top" wrapText="1"/>
    </xf>
    <xf numFmtId="0" fontId="67" fillId="0" borderId="15" xfId="0" applyFont="1" applyFill="1" applyBorder="1" applyAlignment="1">
      <alignment horizontal="center" vertical="top" wrapText="1"/>
    </xf>
    <xf numFmtId="0" fontId="68" fillId="0" borderId="15" xfId="0" applyFont="1" applyFill="1" applyBorder="1" applyAlignment="1">
      <alignment horizontal="center" vertical="top" wrapText="1"/>
    </xf>
    <xf numFmtId="0" fontId="67" fillId="0" borderId="16" xfId="0" applyFont="1" applyFill="1" applyBorder="1" applyAlignment="1">
      <alignment horizontal="center" vertical="top" wrapText="1"/>
    </xf>
    <xf numFmtId="0" fontId="66" fillId="0" borderId="14" xfId="0" applyFont="1" applyFill="1" applyBorder="1" applyAlignment="1">
      <alignment horizontal="center" vertical="top" wrapText="1"/>
    </xf>
    <xf numFmtId="0" fontId="66" fillId="0" borderId="12" xfId="0" applyFont="1" applyFill="1" applyBorder="1" applyAlignment="1">
      <alignment horizontal="center" vertical="top" wrapText="1"/>
    </xf>
    <xf numFmtId="0" fontId="66" fillId="0" borderId="12" xfId="0" applyFont="1" applyFill="1" applyBorder="1" applyAlignment="1">
      <alignment vertical="top" wrapText="1"/>
    </xf>
    <xf numFmtId="0" fontId="69" fillId="0" borderId="12" xfId="0" applyFont="1" applyFill="1" applyBorder="1" applyAlignment="1">
      <alignment vertical="top" wrapText="1"/>
    </xf>
    <xf numFmtId="0" fontId="70" fillId="0" borderId="17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63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1" fillId="0" borderId="11" xfId="0" applyFont="1" applyBorder="1" applyAlignment="1">
      <alignment horizontal="right" vertical="center"/>
    </xf>
    <xf numFmtId="14" fontId="3" fillId="0" borderId="11" xfId="0" applyNumberFormat="1" applyFont="1" applyFill="1" applyBorder="1" applyAlignment="1">
      <alignment horizontal="center" vertical="center"/>
    </xf>
    <xf numFmtId="14" fontId="3" fillId="33" borderId="11" xfId="0" applyNumberFormat="1" applyFont="1" applyFill="1" applyBorder="1" applyAlignment="1">
      <alignment horizontal="center" vertical="center"/>
    </xf>
    <xf numFmtId="49" fontId="7" fillId="5" borderId="11" xfId="0" applyNumberFormat="1" applyFont="1" applyFill="1" applyBorder="1" applyAlignment="1">
      <alignment horizontal="right" vertical="center"/>
    </xf>
    <xf numFmtId="0" fontId="71" fillId="0" borderId="14" xfId="0" applyFont="1" applyBorder="1" applyAlignment="1">
      <alignment vertical="center" wrapText="1"/>
    </xf>
    <xf numFmtId="0" fontId="7" fillId="33" borderId="14" xfId="67" applyNumberFormat="1" applyFont="1" applyFill="1" applyBorder="1" applyAlignment="1" applyProtection="1">
      <alignment horizontal="center" vertical="top"/>
      <protection/>
    </xf>
    <xf numFmtId="0" fontId="7" fillId="5" borderId="12" xfId="67" applyFont="1" applyFill="1" applyBorder="1" applyAlignment="1">
      <alignment horizontal="left" vertical="center" wrapText="1"/>
    </xf>
    <xf numFmtId="0" fontId="71" fillId="0" borderId="12" xfId="0" applyFont="1" applyBorder="1" applyAlignment="1">
      <alignment vertical="center" wrapText="1"/>
    </xf>
    <xf numFmtId="0" fontId="72" fillId="0" borderId="14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73" fillId="0" borderId="0" xfId="0" applyFont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73" fillId="0" borderId="15" xfId="0" applyFont="1" applyBorder="1" applyAlignment="1">
      <alignment/>
    </xf>
    <xf numFmtId="0" fontId="9" fillId="0" borderId="15" xfId="67" applyFont="1" applyFill="1" applyBorder="1" applyAlignment="1">
      <alignment horizontal="center" vertical="center" wrapText="1"/>
    </xf>
    <xf numFmtId="2" fontId="74" fillId="0" borderId="15" xfId="67" applyNumberFormat="1" applyFont="1" applyFill="1" applyBorder="1" applyAlignment="1">
      <alignment horizontal="center" vertical="center" wrapText="1"/>
    </xf>
    <xf numFmtId="0" fontId="9" fillId="33" borderId="12" xfId="67" applyFont="1" applyFill="1" applyBorder="1" applyAlignment="1">
      <alignment horizontal="left" vertical="center" wrapText="1"/>
    </xf>
    <xf numFmtId="0" fontId="9" fillId="33" borderId="15" xfId="67" applyFont="1" applyFill="1" applyBorder="1" applyAlignment="1">
      <alignment horizontal="center" vertical="center" wrapText="1"/>
    </xf>
    <xf numFmtId="2" fontId="74" fillId="33" borderId="15" xfId="67" applyNumberFormat="1" applyFont="1" applyFill="1" applyBorder="1" applyAlignment="1">
      <alignment horizontal="center" vertical="center" wrapText="1"/>
    </xf>
    <xf numFmtId="2" fontId="9" fillId="33" borderId="15" xfId="67" applyNumberFormat="1" applyFont="1" applyFill="1" applyBorder="1" applyAlignment="1">
      <alignment horizontal="center" vertical="center" wrapText="1"/>
    </xf>
    <xf numFmtId="0" fontId="9" fillId="5" borderId="15" xfId="67" applyFont="1" applyFill="1" applyBorder="1" applyAlignment="1">
      <alignment horizontal="center" vertical="center" wrapText="1"/>
    </xf>
    <xf numFmtId="2" fontId="9" fillId="5" borderId="15" xfId="67" applyNumberFormat="1" applyFont="1" applyFill="1" applyBorder="1" applyAlignment="1">
      <alignment horizontal="center" vertical="center" wrapText="1"/>
    </xf>
    <xf numFmtId="0" fontId="73" fillId="5" borderId="0" xfId="0" applyFont="1" applyFill="1" applyAlignment="1">
      <alignment/>
    </xf>
    <xf numFmtId="0" fontId="74" fillId="0" borderId="15" xfId="0" applyFont="1" applyBorder="1" applyAlignment="1">
      <alignment horizontal="center" vertical="center"/>
    </xf>
    <xf numFmtId="0" fontId="73" fillId="33" borderId="0" xfId="0" applyFont="1" applyFill="1" applyAlignment="1">
      <alignment/>
    </xf>
    <xf numFmtId="0" fontId="74" fillId="33" borderId="15" xfId="0" applyFont="1" applyFill="1" applyBorder="1" applyAlignment="1">
      <alignment horizontal="center" vertical="center"/>
    </xf>
    <xf numFmtId="0" fontId="9" fillId="33" borderId="15" xfId="52" applyFont="1" applyFill="1" applyBorder="1" applyAlignment="1">
      <alignment horizontal="center" vertical="center" wrapText="1"/>
    </xf>
    <xf numFmtId="0" fontId="75" fillId="0" borderId="15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9" fillId="0" borderId="11" xfId="0" applyNumberFormat="1" applyFont="1" applyBorder="1" applyAlignment="1">
      <alignment horizontal="right" vertical="center"/>
    </xf>
    <xf numFmtId="0" fontId="7" fillId="0" borderId="14" xfId="66" applyFont="1" applyFill="1" applyBorder="1" applyAlignment="1">
      <alignment vertical="center" wrapText="1"/>
      <protection/>
    </xf>
    <xf numFmtId="4" fontId="74" fillId="0" borderId="15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right" vertical="center"/>
    </xf>
    <xf numFmtId="2" fontId="9" fillId="0" borderId="15" xfId="67" applyNumberFormat="1" applyFont="1" applyFill="1" applyBorder="1" applyAlignment="1">
      <alignment horizontal="center" vertical="center" wrapText="1"/>
    </xf>
    <xf numFmtId="0" fontId="7" fillId="0" borderId="14" xfId="66" applyFont="1" applyFill="1" applyBorder="1" applyAlignment="1">
      <alignment horizontal="left" vertical="center" wrapText="1"/>
      <protection/>
    </xf>
    <xf numFmtId="4" fontId="9" fillId="0" borderId="15" xfId="0" applyNumberFormat="1" applyFont="1" applyFill="1" applyBorder="1" applyAlignment="1">
      <alignment horizontal="center" vertical="center"/>
    </xf>
    <xf numFmtId="0" fontId="71" fillId="0" borderId="14" xfId="0" applyFont="1" applyBorder="1" applyAlignment="1">
      <alignment horizontal="left" vertical="center" wrapText="1"/>
    </xf>
    <xf numFmtId="0" fontId="7" fillId="0" borderId="14" xfId="67" applyFont="1" applyFill="1" applyBorder="1" applyAlignment="1">
      <alignment vertical="center" wrapText="1"/>
    </xf>
    <xf numFmtId="49" fontId="7" fillId="33" borderId="11" xfId="0" applyNumberFormat="1" applyFont="1" applyFill="1" applyBorder="1" applyAlignment="1">
      <alignment horizontal="right" vertical="center"/>
    </xf>
    <xf numFmtId="0" fontId="7" fillId="33" borderId="14" xfId="67" applyFont="1" applyFill="1" applyBorder="1" applyAlignment="1">
      <alignment horizontal="left" vertical="center" wrapText="1"/>
    </xf>
    <xf numFmtId="0" fontId="71" fillId="0" borderId="18" xfId="0" applyFont="1" applyBorder="1" applyAlignment="1">
      <alignment vertical="center" wrapText="1"/>
    </xf>
    <xf numFmtId="0" fontId="9" fillId="0" borderId="17" xfId="67" applyFont="1" applyFill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2" fontId="74" fillId="0" borderId="11" xfId="67" applyNumberFormat="1" applyFont="1" applyFill="1" applyBorder="1" applyAlignment="1">
      <alignment horizontal="center" vertical="center" wrapText="1"/>
    </xf>
    <xf numFmtId="2" fontId="9" fillId="33" borderId="11" xfId="67" applyNumberFormat="1" applyFont="1" applyFill="1" applyBorder="1" applyAlignment="1">
      <alignment horizontal="center" vertical="center" wrapText="1"/>
    </xf>
    <xf numFmtId="2" fontId="9" fillId="0" borderId="11" xfId="67" applyNumberFormat="1" applyFont="1" applyFill="1" applyBorder="1" applyAlignment="1">
      <alignment horizontal="center" vertical="center" wrapText="1"/>
    </xf>
    <xf numFmtId="2" fontId="74" fillId="33" borderId="11" xfId="67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67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7" fillId="33" borderId="15" xfId="67" applyNumberFormat="1" applyFont="1" applyFill="1" applyBorder="1" applyAlignment="1" applyProtection="1">
      <alignment horizontal="center" vertical="center"/>
      <protection/>
    </xf>
    <xf numFmtId="49" fontId="7" fillId="0" borderId="15" xfId="0" applyNumberFormat="1" applyFont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56" fillId="0" borderId="15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70" fillId="0" borderId="17" xfId="0" applyNumberFormat="1" applyFont="1" applyFill="1" applyBorder="1" applyAlignment="1">
      <alignment horizontal="center" vertical="center" wrapText="1"/>
    </xf>
    <xf numFmtId="49" fontId="69" fillId="0" borderId="12" xfId="0" applyNumberFormat="1" applyFont="1" applyFill="1" applyBorder="1" applyAlignment="1">
      <alignment vertical="top"/>
    </xf>
    <xf numFmtId="49" fontId="13" fillId="0" borderId="16" xfId="0" applyNumberFormat="1" applyFont="1" applyFill="1" applyBorder="1" applyAlignment="1">
      <alignment vertical="top" wrapText="1"/>
    </xf>
    <xf numFmtId="49" fontId="13" fillId="0" borderId="15" xfId="0" applyNumberFormat="1" applyFont="1" applyFill="1" applyBorder="1" applyAlignment="1">
      <alignment horizontal="center" vertical="top" wrapText="1"/>
    </xf>
    <xf numFmtId="49" fontId="13" fillId="0" borderId="12" xfId="0" applyNumberFormat="1" applyFont="1" applyFill="1" applyBorder="1" applyAlignment="1">
      <alignment vertical="top"/>
    </xf>
    <xf numFmtId="49" fontId="13" fillId="34" borderId="15" xfId="0" applyNumberFormat="1" applyFont="1" applyFill="1" applyBorder="1" applyAlignment="1">
      <alignment vertical="top" wrapText="1"/>
    </xf>
    <xf numFmtId="49" fontId="65" fillId="0" borderId="0" xfId="0" applyNumberFormat="1" applyFont="1" applyAlignment="1">
      <alignment/>
    </xf>
    <xf numFmtId="49" fontId="13" fillId="33" borderId="15" xfId="0" applyNumberFormat="1" applyFont="1" applyFill="1" applyBorder="1" applyAlignment="1">
      <alignment vertical="top" wrapText="1"/>
    </xf>
    <xf numFmtId="1" fontId="73" fillId="0" borderId="15" xfId="0" applyNumberFormat="1" applyFont="1" applyBorder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" fillId="0" borderId="15" xfId="0" applyFont="1" applyFill="1" applyBorder="1" applyAlignment="1">
      <alignment horizontal="center" vertical="top" wrapText="1"/>
    </xf>
    <xf numFmtId="0" fontId="78" fillId="0" borderId="12" xfId="0" applyFont="1" applyFill="1" applyBorder="1" applyAlignment="1">
      <alignment vertical="top"/>
    </xf>
    <xf numFmtId="0" fontId="7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5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7" fillId="0" borderId="17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73" fillId="0" borderId="20" xfId="0" applyFont="1" applyBorder="1" applyAlignment="1">
      <alignment horizontal="right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79" fillId="0" borderId="0" xfId="0" applyFont="1" applyAlignment="1">
      <alignment/>
    </xf>
    <xf numFmtId="1" fontId="0" fillId="0" borderId="0" xfId="0" applyNumberFormat="1" applyAlignment="1">
      <alignment/>
    </xf>
    <xf numFmtId="0" fontId="19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80" fillId="0" borderId="0" xfId="0" applyFont="1" applyBorder="1" applyAlignment="1">
      <alignment/>
    </xf>
    <xf numFmtId="0" fontId="79" fillId="0" borderId="0" xfId="0" applyFont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0" fontId="81" fillId="33" borderId="0" xfId="0" applyFont="1" applyFill="1" applyBorder="1" applyAlignment="1">
      <alignment horizontal="center" vertical="center" wrapText="1"/>
    </xf>
    <xf numFmtId="0" fontId="82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left" vertical="top" wrapText="1"/>
    </xf>
    <xf numFmtId="0" fontId="83" fillId="0" borderId="21" xfId="0" applyFont="1" applyBorder="1" applyAlignment="1">
      <alignment horizontal="left" vertical="center"/>
    </xf>
    <xf numFmtId="0" fontId="79" fillId="0" borderId="21" xfId="0" applyFont="1" applyBorder="1" applyAlignment="1">
      <alignment horizontal="left"/>
    </xf>
    <xf numFmtId="0" fontId="3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vertical="center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2" xfId="55"/>
    <cellStyle name="Обычный 2 2" xfId="56"/>
    <cellStyle name="Обычный 2 3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8 2" xfId="64"/>
    <cellStyle name="Обычный 9" xfId="65"/>
    <cellStyle name="Обычный_Прейскурант ОМС исправ 2010" xfId="66"/>
    <cellStyle name="Обычный_Прейскурант01.04.10.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Финансовый 2" xfId="76"/>
    <cellStyle name="Финансовый 3" xfId="77"/>
    <cellStyle name="Финансовый 4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5"/>
  <sheetViews>
    <sheetView tabSelected="1" view="pageBreakPreview" zoomScale="77" zoomScaleSheetLayoutView="77" zoomScalePageLayoutView="0" workbookViewId="0" topLeftCell="A10">
      <selection activeCell="A11" sqref="A11:A12"/>
    </sheetView>
  </sheetViews>
  <sheetFormatPr defaultColWidth="9.140625" defaultRowHeight="15"/>
  <cols>
    <col min="1" max="1" width="25.140625" style="0" customWidth="1"/>
    <col min="2" max="2" width="25.140625" style="115" customWidth="1"/>
    <col min="3" max="3" width="75.140625" style="106" customWidth="1"/>
    <col min="4" max="4" width="19.421875" style="0" customWidth="1"/>
    <col min="5" max="5" width="15.00390625" style="0" customWidth="1"/>
    <col min="6" max="6" width="17.00390625" style="0" customWidth="1"/>
    <col min="7" max="7" width="12.28125" style="126" hidden="1" customWidth="1"/>
    <col min="214" max="214" width="10.8515625" style="0" customWidth="1"/>
    <col min="215" max="215" width="50.7109375" style="0" customWidth="1"/>
    <col min="216" max="216" width="19.421875" style="0" customWidth="1"/>
    <col min="217" max="217" width="19.140625" style="0" customWidth="1"/>
  </cols>
  <sheetData>
    <row r="1" spans="1:5" ht="1.5" customHeight="1">
      <c r="A1" s="1"/>
      <c r="B1" s="135"/>
      <c r="C1" s="1"/>
      <c r="D1" s="1"/>
      <c r="E1" s="1"/>
    </row>
    <row r="2" spans="1:6" ht="21.75" customHeight="1">
      <c r="A2" s="1"/>
      <c r="B2" s="140"/>
      <c r="C2" s="141"/>
      <c r="D2" s="142" t="s">
        <v>479</v>
      </c>
      <c r="E2" s="142"/>
      <c r="F2" s="143"/>
    </row>
    <row r="3" spans="1:6" ht="49.5" customHeight="1">
      <c r="A3" s="1"/>
      <c r="B3" s="140"/>
      <c r="C3" s="141"/>
      <c r="D3" s="142" t="s">
        <v>480</v>
      </c>
      <c r="E3" s="142"/>
      <c r="F3" s="143"/>
    </row>
    <row r="4" spans="1:6" ht="44.25" customHeight="1">
      <c r="A4" s="1"/>
      <c r="B4" s="140"/>
      <c r="C4" s="141"/>
      <c r="D4" s="142" t="s">
        <v>481</v>
      </c>
      <c r="E4" s="142"/>
      <c r="F4" s="143"/>
    </row>
    <row r="5" spans="1:6" ht="30.75" customHeight="1">
      <c r="A5" s="1"/>
      <c r="B5" s="140"/>
      <c r="C5" s="141"/>
      <c r="D5" s="142" t="s">
        <v>482</v>
      </c>
      <c r="F5" s="143"/>
    </row>
    <row r="6" spans="1:3" ht="32.25" customHeight="1">
      <c r="A6" s="1"/>
      <c r="B6" s="140"/>
      <c r="C6" s="141"/>
    </row>
    <row r="7" spans="1:7" s="131" customFormat="1" ht="33.75" customHeight="1">
      <c r="A7" s="1"/>
      <c r="B7" s="140"/>
      <c r="C7" s="144" t="s">
        <v>483</v>
      </c>
      <c r="D7"/>
      <c r="E7"/>
      <c r="F7"/>
      <c r="G7" s="130"/>
    </row>
    <row r="8" spans="1:7" s="131" customFormat="1" ht="33.75" customHeight="1">
      <c r="A8" s="145"/>
      <c r="B8" s="146"/>
      <c r="C8" s="152" t="s">
        <v>484</v>
      </c>
      <c r="D8" s="152"/>
      <c r="E8" s="152"/>
      <c r="F8" s="152"/>
      <c r="G8" s="130"/>
    </row>
    <row r="9" spans="1:7" s="131" customFormat="1" ht="33.75" customHeight="1">
      <c r="A9" s="145"/>
      <c r="B9" s="146"/>
      <c r="C9" s="152" t="s">
        <v>485</v>
      </c>
      <c r="D9" s="152"/>
      <c r="E9" s="152"/>
      <c r="F9" s="152"/>
      <c r="G9" s="130"/>
    </row>
    <row r="10" spans="1:7" s="61" customFormat="1" ht="39.75" customHeight="1">
      <c r="A10" s="136"/>
      <c r="B10" s="149"/>
      <c r="C10" s="137"/>
      <c r="D10" s="137"/>
      <c r="E10" s="138"/>
      <c r="F10" s="139"/>
      <c r="G10" s="127"/>
    </row>
    <row r="11" spans="1:7" s="61" customFormat="1" ht="46.5" customHeight="1">
      <c r="A11" s="156" t="s">
        <v>0</v>
      </c>
      <c r="B11" s="160" t="s">
        <v>477</v>
      </c>
      <c r="C11" s="158" t="s">
        <v>478</v>
      </c>
      <c r="D11" s="160" t="s">
        <v>1</v>
      </c>
      <c r="E11" s="160" t="s">
        <v>338</v>
      </c>
      <c r="F11" s="160" t="s">
        <v>476</v>
      </c>
      <c r="G11" s="127"/>
    </row>
    <row r="12" spans="1:7" s="61" customFormat="1" ht="78.75" customHeight="1">
      <c r="A12" s="157"/>
      <c r="B12" s="160"/>
      <c r="C12" s="159"/>
      <c r="D12" s="160"/>
      <c r="E12" s="160"/>
      <c r="F12" s="160"/>
      <c r="G12" s="127"/>
    </row>
    <row r="13" spans="1:7" s="61" customFormat="1" ht="39.75" customHeight="1">
      <c r="A13" s="63"/>
      <c r="B13" s="112" t="s">
        <v>487</v>
      </c>
      <c r="C13" s="55" t="s">
        <v>333</v>
      </c>
      <c r="D13" s="64"/>
      <c r="E13" s="62"/>
      <c r="F13" s="62"/>
      <c r="G13" s="127"/>
    </row>
    <row r="14" spans="1:7" s="61" customFormat="1" ht="39.75" customHeight="1">
      <c r="A14" s="63"/>
      <c r="B14" s="112" t="s">
        <v>488</v>
      </c>
      <c r="C14" s="55" t="s">
        <v>390</v>
      </c>
      <c r="D14" s="62"/>
      <c r="E14" s="62"/>
      <c r="F14" s="62"/>
      <c r="G14" s="127"/>
    </row>
    <row r="15" spans="1:7" s="61" customFormat="1" ht="53.25" customHeight="1">
      <c r="A15" s="65"/>
      <c r="B15" s="112" t="s">
        <v>489</v>
      </c>
      <c r="C15" s="105" t="s">
        <v>2</v>
      </c>
      <c r="D15" s="66"/>
      <c r="E15" s="67"/>
      <c r="F15" s="68"/>
      <c r="G15" s="127"/>
    </row>
    <row r="16" spans="1:7" s="61" customFormat="1" ht="81">
      <c r="A16" s="109" t="s">
        <v>391</v>
      </c>
      <c r="B16" s="111" t="s">
        <v>490</v>
      </c>
      <c r="C16" s="71" t="s">
        <v>392</v>
      </c>
      <c r="D16" s="72" t="s">
        <v>3</v>
      </c>
      <c r="E16" s="73">
        <v>8</v>
      </c>
      <c r="F16" s="125">
        <f>E16*G16-2630</f>
        <v>499.7600000000002</v>
      </c>
      <c r="G16" s="127">
        <v>391.22</v>
      </c>
    </row>
    <row r="17" spans="1:7" s="61" customFormat="1" ht="40.5">
      <c r="A17" s="109" t="s">
        <v>394</v>
      </c>
      <c r="B17" s="111" t="s">
        <v>491</v>
      </c>
      <c r="C17" s="7" t="s">
        <v>393</v>
      </c>
      <c r="D17" s="69" t="s">
        <v>4</v>
      </c>
      <c r="E17" s="70">
        <v>1.18</v>
      </c>
      <c r="F17" s="125">
        <f>E17*G17+38</f>
        <v>499.63960000000003</v>
      </c>
      <c r="G17" s="127">
        <v>391.22</v>
      </c>
    </row>
    <row r="18" spans="1:7" s="61" customFormat="1" ht="40.5">
      <c r="A18" s="109" t="s">
        <v>397</v>
      </c>
      <c r="B18" s="111" t="s">
        <v>492</v>
      </c>
      <c r="C18" s="7" t="s">
        <v>398</v>
      </c>
      <c r="D18" s="69" t="s">
        <v>4</v>
      </c>
      <c r="E18" s="70">
        <v>1.25</v>
      </c>
      <c r="F18" s="125">
        <f>E18*G18+38</f>
        <v>527.0250000000001</v>
      </c>
      <c r="G18" s="127">
        <v>391.22</v>
      </c>
    </row>
    <row r="19" spans="1:7" s="61" customFormat="1" ht="60.75">
      <c r="A19" s="2" t="s">
        <v>5</v>
      </c>
      <c r="B19" s="111" t="s">
        <v>493</v>
      </c>
      <c r="C19" s="7" t="s">
        <v>377</v>
      </c>
      <c r="D19" s="69" t="s">
        <v>3</v>
      </c>
      <c r="E19" s="70">
        <v>1.68</v>
      </c>
      <c r="F19" s="125">
        <f>E19*G19-157</f>
        <v>500.2496</v>
      </c>
      <c r="G19" s="127">
        <v>391.22</v>
      </c>
    </row>
    <row r="20" spans="1:7" s="61" customFormat="1" ht="40.5">
      <c r="A20" s="2" t="s">
        <v>6</v>
      </c>
      <c r="B20" s="111" t="s">
        <v>494</v>
      </c>
      <c r="C20" s="7" t="s">
        <v>378</v>
      </c>
      <c r="D20" s="69" t="s">
        <v>4</v>
      </c>
      <c r="E20" s="70">
        <v>1.18</v>
      </c>
      <c r="F20" s="125">
        <f>E20*G20-62</f>
        <v>399.63960000000003</v>
      </c>
      <c r="G20" s="127">
        <v>391.22</v>
      </c>
    </row>
    <row r="21" spans="1:7" s="61" customFormat="1" ht="40.5">
      <c r="A21" s="2" t="s">
        <v>7</v>
      </c>
      <c r="B21" s="111" t="s">
        <v>495</v>
      </c>
      <c r="C21" s="7" t="s">
        <v>8</v>
      </c>
      <c r="D21" s="69" t="s">
        <v>4</v>
      </c>
      <c r="E21" s="70">
        <v>1.25</v>
      </c>
      <c r="F21" s="125">
        <f>E21*G21-89</f>
        <v>400.02500000000003</v>
      </c>
      <c r="G21" s="127">
        <v>391.22</v>
      </c>
    </row>
    <row r="22" spans="1:7" s="79" customFormat="1" ht="40.5">
      <c r="A22" s="3" t="s">
        <v>305</v>
      </c>
      <c r="B22" s="111" t="s">
        <v>496</v>
      </c>
      <c r="C22" s="6" t="s">
        <v>353</v>
      </c>
      <c r="D22" s="72" t="s">
        <v>4</v>
      </c>
      <c r="E22" s="73">
        <v>0.61</v>
      </c>
      <c r="F22" s="125">
        <f>E22*G22+61</f>
        <v>299.6442</v>
      </c>
      <c r="G22" s="127">
        <v>391.22</v>
      </c>
    </row>
    <row r="23" spans="1:7" s="79" customFormat="1" ht="40.5">
      <c r="A23" s="3" t="s">
        <v>306</v>
      </c>
      <c r="B23" s="111" t="s">
        <v>497</v>
      </c>
      <c r="C23" s="6" t="s">
        <v>354</v>
      </c>
      <c r="D23" s="72" t="s">
        <v>4</v>
      </c>
      <c r="E23" s="73">
        <v>0.76</v>
      </c>
      <c r="F23" s="125">
        <f>E23*G23</f>
        <v>297.3272</v>
      </c>
      <c r="G23" s="127">
        <v>391.22</v>
      </c>
    </row>
    <row r="24" spans="1:7" s="79" customFormat="1" ht="40.5">
      <c r="A24" s="3" t="s">
        <v>307</v>
      </c>
      <c r="B24" s="111" t="s">
        <v>498</v>
      </c>
      <c r="C24" s="6" t="s">
        <v>308</v>
      </c>
      <c r="D24" s="72" t="s">
        <v>10</v>
      </c>
      <c r="E24" s="73">
        <v>1.12</v>
      </c>
      <c r="F24" s="125">
        <f>E24*G24+3</f>
        <v>441.16640000000007</v>
      </c>
      <c r="G24" s="127">
        <v>391.22</v>
      </c>
    </row>
    <row r="25" spans="1:7" s="79" customFormat="1" ht="47.25" customHeight="1">
      <c r="A25" s="3" t="s">
        <v>309</v>
      </c>
      <c r="B25" s="111" t="s">
        <v>499</v>
      </c>
      <c r="C25" s="6" t="s">
        <v>310</v>
      </c>
      <c r="D25" s="72" t="s">
        <v>10</v>
      </c>
      <c r="E25" s="73">
        <v>1.12</v>
      </c>
      <c r="F25" s="125">
        <f>E25*G25-38</f>
        <v>400.16640000000007</v>
      </c>
      <c r="G25" s="127">
        <v>391.22</v>
      </c>
    </row>
    <row r="26" spans="1:7" s="61" customFormat="1" ht="53.25" customHeight="1">
      <c r="A26" s="4" t="s">
        <v>9</v>
      </c>
      <c r="B26" s="111" t="s">
        <v>500</v>
      </c>
      <c r="C26" s="7" t="s">
        <v>355</v>
      </c>
      <c r="D26" s="69" t="s">
        <v>10</v>
      </c>
      <c r="E26" s="70">
        <v>0.42</v>
      </c>
      <c r="F26" s="125">
        <f>E26*G26+36</f>
        <v>200.3124</v>
      </c>
      <c r="G26" s="127">
        <v>391.22</v>
      </c>
    </row>
    <row r="27" spans="1:7" s="61" customFormat="1" ht="40.5">
      <c r="A27" s="4" t="s">
        <v>11</v>
      </c>
      <c r="B27" s="111" t="s">
        <v>501</v>
      </c>
      <c r="C27" s="7" t="s">
        <v>379</v>
      </c>
      <c r="D27" s="69" t="s">
        <v>12</v>
      </c>
      <c r="E27" s="74">
        <v>2.4</v>
      </c>
      <c r="F27" s="125">
        <f>E27*G27+61</f>
        <v>999.928</v>
      </c>
      <c r="G27" s="127">
        <v>391.22</v>
      </c>
    </row>
    <row r="28" spans="1:7" s="77" customFormat="1" ht="29.25" customHeight="1">
      <c r="A28" s="53" t="s">
        <v>311</v>
      </c>
      <c r="B28" s="111" t="s">
        <v>502</v>
      </c>
      <c r="C28" s="56" t="s">
        <v>312</v>
      </c>
      <c r="D28" s="75" t="s">
        <v>12</v>
      </c>
      <c r="E28" s="76">
        <v>0.88</v>
      </c>
      <c r="F28" s="125">
        <f>E28*G28-44</f>
        <v>300.27360000000004</v>
      </c>
      <c r="G28" s="127">
        <v>391.22</v>
      </c>
    </row>
    <row r="29" spans="1:7" s="61" customFormat="1" ht="21">
      <c r="A29" s="4" t="s">
        <v>13</v>
      </c>
      <c r="B29" s="111" t="s">
        <v>503</v>
      </c>
      <c r="C29" s="7" t="s">
        <v>339</v>
      </c>
      <c r="D29" s="69" t="s">
        <v>14</v>
      </c>
      <c r="E29" s="78">
        <v>0.31</v>
      </c>
      <c r="F29" s="125">
        <f>E29*G29-21</f>
        <v>100.27820000000001</v>
      </c>
      <c r="G29" s="127">
        <v>391.22</v>
      </c>
    </row>
    <row r="30" spans="1:7" s="61" customFormat="1" ht="21">
      <c r="A30" s="4" t="s">
        <v>15</v>
      </c>
      <c r="B30" s="111" t="s">
        <v>504</v>
      </c>
      <c r="C30" s="7" t="s">
        <v>16</v>
      </c>
      <c r="D30" s="69" t="s">
        <v>14</v>
      </c>
      <c r="E30" s="78">
        <v>0.5</v>
      </c>
      <c r="F30" s="125">
        <f>E30*G30+204</f>
        <v>399.61</v>
      </c>
      <c r="G30" s="127">
        <v>391.22</v>
      </c>
    </row>
    <row r="31" spans="1:7" s="61" customFormat="1" ht="21">
      <c r="A31" s="4" t="s">
        <v>17</v>
      </c>
      <c r="B31" s="111" t="s">
        <v>505</v>
      </c>
      <c r="C31" s="7" t="s">
        <v>18</v>
      </c>
      <c r="D31" s="69" t="s">
        <v>14</v>
      </c>
      <c r="E31" s="78">
        <v>0.96</v>
      </c>
      <c r="F31" s="125">
        <f>E31*G31+24</f>
        <v>399.57120000000003</v>
      </c>
      <c r="G31" s="127">
        <v>391.22</v>
      </c>
    </row>
    <row r="32" spans="1:7" s="61" customFormat="1" ht="21">
      <c r="A32" s="48" t="s">
        <v>292</v>
      </c>
      <c r="B32" s="111" t="s">
        <v>506</v>
      </c>
      <c r="C32" s="7" t="s">
        <v>293</v>
      </c>
      <c r="D32" s="69" t="s">
        <v>12</v>
      </c>
      <c r="E32" s="78">
        <v>0.35</v>
      </c>
      <c r="F32" s="125">
        <f>E32*G32-37</f>
        <v>99.92699999999999</v>
      </c>
      <c r="G32" s="127">
        <v>391.22</v>
      </c>
    </row>
    <row r="33" spans="1:7" s="61" customFormat="1" ht="50.25" customHeight="1">
      <c r="A33" s="49"/>
      <c r="B33" s="114" t="s">
        <v>507</v>
      </c>
      <c r="C33" s="110" t="s">
        <v>334</v>
      </c>
      <c r="D33" s="69"/>
      <c r="E33" s="74"/>
      <c r="F33" s="125">
        <f>E33*G33</f>
        <v>0</v>
      </c>
      <c r="G33" s="127">
        <v>391.22</v>
      </c>
    </row>
    <row r="34" spans="1:7" s="61" customFormat="1" ht="60" customHeight="1">
      <c r="A34" s="109" t="s">
        <v>399</v>
      </c>
      <c r="B34" s="114" t="s">
        <v>508</v>
      </c>
      <c r="C34" s="7" t="s">
        <v>401</v>
      </c>
      <c r="D34" s="69" t="s">
        <v>400</v>
      </c>
      <c r="E34" s="70">
        <v>1.25</v>
      </c>
      <c r="F34" s="125">
        <f>E34*G34+11</f>
        <v>500.02500000000003</v>
      </c>
      <c r="G34" s="127">
        <v>391.22</v>
      </c>
    </row>
    <row r="35" spans="1:7" s="61" customFormat="1" ht="40.5">
      <c r="A35" s="109" t="s">
        <v>403</v>
      </c>
      <c r="B35" s="114" t="s">
        <v>509</v>
      </c>
      <c r="C35" s="7" t="s">
        <v>402</v>
      </c>
      <c r="D35" s="69" t="s">
        <v>400</v>
      </c>
      <c r="E35" s="70">
        <v>1.25</v>
      </c>
      <c r="F35" s="125">
        <f>E35*G35+11</f>
        <v>500.02500000000003</v>
      </c>
      <c r="G35" s="127">
        <v>391.22</v>
      </c>
    </row>
    <row r="36" spans="1:7" s="61" customFormat="1" ht="60.75">
      <c r="A36" s="109" t="s">
        <v>404</v>
      </c>
      <c r="B36" s="114" t="s">
        <v>510</v>
      </c>
      <c r="C36" s="7" t="s">
        <v>395</v>
      </c>
      <c r="D36" s="69" t="s">
        <v>3</v>
      </c>
      <c r="E36" s="70">
        <v>1.68</v>
      </c>
      <c r="F36" s="125">
        <f>E36*G36-157</f>
        <v>500.2496</v>
      </c>
      <c r="G36" s="127">
        <v>391.22</v>
      </c>
    </row>
    <row r="37" spans="1:7" s="61" customFormat="1" ht="40.5">
      <c r="A37" s="109" t="s">
        <v>405</v>
      </c>
      <c r="B37" s="114" t="s">
        <v>511</v>
      </c>
      <c r="C37" s="7" t="s">
        <v>396</v>
      </c>
      <c r="D37" s="69" t="s">
        <v>4</v>
      </c>
      <c r="E37" s="70">
        <v>1.18</v>
      </c>
      <c r="F37" s="125">
        <f>E37*G37-62</f>
        <v>399.63960000000003</v>
      </c>
      <c r="G37" s="127">
        <v>391.22</v>
      </c>
    </row>
    <row r="38" spans="1:7" s="61" customFormat="1" ht="40.5">
      <c r="A38" s="4" t="s">
        <v>19</v>
      </c>
      <c r="B38" s="114" t="s">
        <v>512</v>
      </c>
      <c r="C38" s="7" t="s">
        <v>20</v>
      </c>
      <c r="D38" s="69" t="s">
        <v>12</v>
      </c>
      <c r="E38" s="70">
        <v>0.2</v>
      </c>
      <c r="F38" s="125">
        <f>E38*G38-3</f>
        <v>75.24400000000001</v>
      </c>
      <c r="G38" s="127">
        <v>391.22</v>
      </c>
    </row>
    <row r="39" spans="1:7" s="61" customFormat="1" ht="55.5" customHeight="1">
      <c r="A39" s="4" t="s">
        <v>21</v>
      </c>
      <c r="B39" s="114" t="s">
        <v>513</v>
      </c>
      <c r="C39" s="7" t="s">
        <v>406</v>
      </c>
      <c r="D39" s="69" t="s">
        <v>10</v>
      </c>
      <c r="E39" s="70">
        <v>2</v>
      </c>
      <c r="F39" s="125">
        <f>E39*G39-282</f>
        <v>500.44000000000005</v>
      </c>
      <c r="G39" s="127">
        <v>391.22</v>
      </c>
    </row>
    <row r="40" spans="1:7" s="61" customFormat="1" ht="40.5">
      <c r="A40" s="4" t="s">
        <v>23</v>
      </c>
      <c r="B40" s="114" t="s">
        <v>514</v>
      </c>
      <c r="C40" s="7" t="s">
        <v>356</v>
      </c>
      <c r="D40" s="69" t="s">
        <v>12</v>
      </c>
      <c r="E40" s="74">
        <v>0.4</v>
      </c>
      <c r="F40" s="125">
        <f>E40*G40-106</f>
        <v>50.48800000000003</v>
      </c>
      <c r="G40" s="127">
        <v>391.22</v>
      </c>
    </row>
    <row r="41" spans="1:7" s="61" customFormat="1" ht="40.5">
      <c r="A41" s="4" t="s">
        <v>24</v>
      </c>
      <c r="B41" s="114" t="s">
        <v>515</v>
      </c>
      <c r="C41" s="7" t="s">
        <v>407</v>
      </c>
      <c r="D41" s="69" t="s">
        <v>12</v>
      </c>
      <c r="E41" s="70">
        <v>0.3</v>
      </c>
      <c r="F41" s="125">
        <f>E41*G41-67</f>
        <v>50.366</v>
      </c>
      <c r="G41" s="127">
        <v>391.22</v>
      </c>
    </row>
    <row r="42" spans="1:7" s="61" customFormat="1" ht="60.75">
      <c r="A42" s="4" t="s">
        <v>24</v>
      </c>
      <c r="B42" s="114" t="s">
        <v>516</v>
      </c>
      <c r="C42" s="7" t="s">
        <v>408</v>
      </c>
      <c r="D42" s="69" t="s">
        <v>10</v>
      </c>
      <c r="E42" s="70">
        <v>0.3</v>
      </c>
      <c r="F42" s="125">
        <f>E42*G42+383</f>
        <v>500.366</v>
      </c>
      <c r="G42" s="127">
        <v>391.22</v>
      </c>
    </row>
    <row r="43" spans="1:7" s="61" customFormat="1" ht="40.5">
      <c r="A43" s="5" t="s">
        <v>27</v>
      </c>
      <c r="B43" s="114" t="s">
        <v>517</v>
      </c>
      <c r="C43" s="7" t="s">
        <v>357</v>
      </c>
      <c r="D43" s="69" t="s">
        <v>12</v>
      </c>
      <c r="E43" s="80">
        <v>1</v>
      </c>
      <c r="F43" s="125">
        <f>E43*G43+9</f>
        <v>400.22</v>
      </c>
      <c r="G43" s="127">
        <v>391.22</v>
      </c>
    </row>
    <row r="44" spans="1:7" s="61" customFormat="1" ht="60.75">
      <c r="A44" s="5" t="s">
        <v>27</v>
      </c>
      <c r="B44" s="114" t="s">
        <v>518</v>
      </c>
      <c r="C44" s="7" t="s">
        <v>409</v>
      </c>
      <c r="D44" s="69" t="s">
        <v>12</v>
      </c>
      <c r="E44" s="80">
        <v>1</v>
      </c>
      <c r="F44" s="125">
        <f>E44*G44+169+40</f>
        <v>600.22</v>
      </c>
      <c r="G44" s="127">
        <v>391.22</v>
      </c>
    </row>
    <row r="45" spans="1:7" s="61" customFormat="1" ht="40.5">
      <c r="A45" s="5" t="s">
        <v>28</v>
      </c>
      <c r="B45" s="114" t="s">
        <v>519</v>
      </c>
      <c r="C45" s="7" t="s">
        <v>358</v>
      </c>
      <c r="D45" s="69" t="s">
        <v>12</v>
      </c>
      <c r="E45" s="74">
        <v>2.4</v>
      </c>
      <c r="F45" s="125">
        <f>E45*G45-239</f>
        <v>699.928</v>
      </c>
      <c r="G45" s="127">
        <v>391.22</v>
      </c>
    </row>
    <row r="46" spans="1:7" s="61" customFormat="1" ht="60.75">
      <c r="A46" s="5" t="s">
        <v>28</v>
      </c>
      <c r="B46" s="114" t="s">
        <v>520</v>
      </c>
      <c r="C46" s="7" t="s">
        <v>410</v>
      </c>
      <c r="D46" s="69" t="s">
        <v>12</v>
      </c>
      <c r="E46" s="74">
        <v>2.4</v>
      </c>
      <c r="F46" s="125">
        <f>E46*G46+61</f>
        <v>999.928</v>
      </c>
      <c r="G46" s="127">
        <v>391.22</v>
      </c>
    </row>
    <row r="47" spans="1:7" s="61" customFormat="1" ht="40.5">
      <c r="A47" s="4" t="s">
        <v>30</v>
      </c>
      <c r="B47" s="114" t="s">
        <v>521</v>
      </c>
      <c r="C47" s="60" t="s">
        <v>411</v>
      </c>
      <c r="D47" s="69" t="s">
        <v>12</v>
      </c>
      <c r="E47" s="70">
        <v>2.5</v>
      </c>
      <c r="F47" s="125">
        <f>E47*G47-678</f>
        <v>300.05000000000007</v>
      </c>
      <c r="G47" s="127">
        <v>391.22</v>
      </c>
    </row>
    <row r="48" spans="1:7" s="61" customFormat="1" ht="39" customHeight="1">
      <c r="A48" s="155" t="s">
        <v>34</v>
      </c>
      <c r="B48" s="155"/>
      <c r="C48" s="155"/>
      <c r="D48" s="155"/>
      <c r="E48" s="155"/>
      <c r="F48" s="125">
        <f>E48*G48</f>
        <v>0</v>
      </c>
      <c r="G48" s="127">
        <v>391.22</v>
      </c>
    </row>
    <row r="49" spans="1:7" s="61" customFormat="1" ht="57.75" customHeight="1">
      <c r="A49" s="83"/>
      <c r="B49" s="113" t="s">
        <v>522</v>
      </c>
      <c r="C49" s="105" t="s">
        <v>336</v>
      </c>
      <c r="D49" s="84"/>
      <c r="E49" s="84"/>
      <c r="F49" s="125">
        <f>E49*G49</f>
        <v>0</v>
      </c>
      <c r="G49" s="127">
        <v>391.22</v>
      </c>
    </row>
    <row r="50" spans="1:7" s="61" customFormat="1" ht="80.25" customHeight="1">
      <c r="A50" s="85" t="s">
        <v>341</v>
      </c>
      <c r="B50" s="113" t="s">
        <v>523</v>
      </c>
      <c r="C50" s="86" t="s">
        <v>361</v>
      </c>
      <c r="D50" s="69" t="s">
        <v>12</v>
      </c>
      <c r="E50" s="87">
        <v>1.53</v>
      </c>
      <c r="F50" s="125">
        <f>E50*G50+201</f>
        <v>799.5666000000001</v>
      </c>
      <c r="G50" s="127">
        <v>391.22</v>
      </c>
    </row>
    <row r="51" spans="1:7" s="61" customFormat="1" ht="80.25" customHeight="1">
      <c r="A51" s="85" t="s">
        <v>342</v>
      </c>
      <c r="B51" s="113" t="s">
        <v>524</v>
      </c>
      <c r="C51" s="86" t="s">
        <v>412</v>
      </c>
      <c r="D51" s="69" t="s">
        <v>12</v>
      </c>
      <c r="E51" s="88">
        <v>4.3</v>
      </c>
      <c r="F51" s="125">
        <f>E51*G51-82</f>
        <v>1600.246</v>
      </c>
      <c r="G51" s="127">
        <v>391.22</v>
      </c>
    </row>
    <row r="52" spans="1:7" s="61" customFormat="1" ht="60" customHeight="1">
      <c r="A52" s="89" t="s">
        <v>299</v>
      </c>
      <c r="B52" s="113" t="s">
        <v>525</v>
      </c>
      <c r="C52" s="86" t="s">
        <v>300</v>
      </c>
      <c r="D52" s="69" t="s">
        <v>12</v>
      </c>
      <c r="E52" s="90">
        <v>2.9</v>
      </c>
      <c r="F52" s="125">
        <f>E52*G52-135</f>
        <v>999.538</v>
      </c>
      <c r="G52" s="127">
        <v>391.22</v>
      </c>
    </row>
    <row r="53" spans="1:7" s="61" customFormat="1" ht="47.25" customHeight="1">
      <c r="A53" s="85" t="s">
        <v>343</v>
      </c>
      <c r="B53" s="113" t="s">
        <v>526</v>
      </c>
      <c r="C53" s="91" t="s">
        <v>35</v>
      </c>
      <c r="D53" s="69" t="s">
        <v>12</v>
      </c>
      <c r="E53" s="90">
        <v>4.3</v>
      </c>
      <c r="F53" s="125">
        <f>E53*G53-82</f>
        <v>1600.246</v>
      </c>
      <c r="G53" s="127">
        <v>391.22</v>
      </c>
    </row>
    <row r="54" spans="1:7" s="61" customFormat="1" ht="66" customHeight="1">
      <c r="A54" s="89" t="s">
        <v>36</v>
      </c>
      <c r="B54" s="113" t="s">
        <v>527</v>
      </c>
      <c r="C54" s="86" t="s">
        <v>298</v>
      </c>
      <c r="D54" s="69" t="s">
        <v>12</v>
      </c>
      <c r="E54" s="87">
        <v>1.85</v>
      </c>
      <c r="F54" s="125">
        <f>E54*G54+176</f>
        <v>899.7570000000001</v>
      </c>
      <c r="G54" s="127">
        <v>391.22</v>
      </c>
    </row>
    <row r="55" spans="1:7" s="61" customFormat="1" ht="81">
      <c r="A55" s="89" t="s">
        <v>344</v>
      </c>
      <c r="B55" s="113" t="s">
        <v>528</v>
      </c>
      <c r="C55" s="86" t="s">
        <v>413</v>
      </c>
      <c r="D55" s="69" t="s">
        <v>12</v>
      </c>
      <c r="E55" s="92">
        <v>4.7</v>
      </c>
      <c r="F55" s="125">
        <f>E55*G55-39</f>
        <v>1799.7340000000002</v>
      </c>
      <c r="G55" s="127">
        <v>391.22</v>
      </c>
    </row>
    <row r="56" spans="1:7" s="61" customFormat="1" ht="48.75" customHeight="1">
      <c r="A56" s="89" t="s">
        <v>301</v>
      </c>
      <c r="B56" s="113" t="s">
        <v>529</v>
      </c>
      <c r="C56" s="86" t="s">
        <v>302</v>
      </c>
      <c r="D56" s="69" t="s">
        <v>12</v>
      </c>
      <c r="E56" s="92">
        <v>3.45</v>
      </c>
      <c r="F56" s="125">
        <f>E56*G56-50</f>
        <v>1299.709</v>
      </c>
      <c r="G56" s="127">
        <v>391.22</v>
      </c>
    </row>
    <row r="57" spans="1:7" s="61" customFormat="1" ht="60.75">
      <c r="A57" s="85" t="s">
        <v>345</v>
      </c>
      <c r="B57" s="113" t="s">
        <v>530</v>
      </c>
      <c r="C57" s="86" t="s">
        <v>37</v>
      </c>
      <c r="D57" s="69" t="s">
        <v>12</v>
      </c>
      <c r="E57" s="92">
        <v>4.7</v>
      </c>
      <c r="F57" s="125">
        <f>E57*G57+361</f>
        <v>2199.7340000000004</v>
      </c>
      <c r="G57" s="127">
        <v>391.22</v>
      </c>
    </row>
    <row r="58" spans="1:7" s="61" customFormat="1" ht="60.75">
      <c r="A58" s="89" t="s">
        <v>38</v>
      </c>
      <c r="B58" s="113" t="s">
        <v>531</v>
      </c>
      <c r="C58" s="86" t="s">
        <v>414</v>
      </c>
      <c r="D58" s="69" t="s">
        <v>12</v>
      </c>
      <c r="E58" s="92">
        <v>4.95</v>
      </c>
      <c r="F58" s="125">
        <f>E58*G58-37</f>
        <v>1899.5390000000002</v>
      </c>
      <c r="G58" s="127">
        <v>391.22</v>
      </c>
    </row>
    <row r="59" spans="1:7" s="61" customFormat="1" ht="71.25" customHeight="1">
      <c r="A59" s="89" t="s">
        <v>303</v>
      </c>
      <c r="B59" s="113" t="s">
        <v>532</v>
      </c>
      <c r="C59" s="86" t="s">
        <v>304</v>
      </c>
      <c r="D59" s="69" t="s">
        <v>12</v>
      </c>
      <c r="E59" s="90">
        <v>4.2</v>
      </c>
      <c r="F59" s="125">
        <f>E59*G59-243</f>
        <v>1400.1240000000003</v>
      </c>
      <c r="G59" s="127">
        <v>391.22</v>
      </c>
    </row>
    <row r="60" spans="1:7" s="61" customFormat="1" ht="40.5">
      <c r="A60" s="89" t="s">
        <v>39</v>
      </c>
      <c r="B60" s="113" t="s">
        <v>533</v>
      </c>
      <c r="C60" s="86" t="s">
        <v>350</v>
      </c>
      <c r="D60" s="69" t="s">
        <v>12</v>
      </c>
      <c r="E60" s="90">
        <v>4.95</v>
      </c>
      <c r="F60" s="125">
        <f>E60*G60+463</f>
        <v>2399.539</v>
      </c>
      <c r="G60" s="127">
        <v>391.22</v>
      </c>
    </row>
    <row r="61" spans="1:7" s="61" customFormat="1" ht="60.75">
      <c r="A61" s="89" t="s">
        <v>39</v>
      </c>
      <c r="B61" s="113" t="s">
        <v>534</v>
      </c>
      <c r="C61" s="86" t="s">
        <v>381</v>
      </c>
      <c r="D61" s="69" t="s">
        <v>349</v>
      </c>
      <c r="E61" s="90">
        <v>4.95</v>
      </c>
      <c r="F61" s="125">
        <f>E61*G61+663</f>
        <v>2599.539</v>
      </c>
      <c r="G61" s="127">
        <v>391.22</v>
      </c>
    </row>
    <row r="62" spans="1:7" s="61" customFormat="1" ht="81">
      <c r="A62" s="4" t="s">
        <v>40</v>
      </c>
      <c r="B62" s="113" t="s">
        <v>535</v>
      </c>
      <c r="C62" s="86" t="s">
        <v>382</v>
      </c>
      <c r="D62" s="69" t="s">
        <v>12</v>
      </c>
      <c r="E62" s="74">
        <v>10</v>
      </c>
      <c r="F62" s="125">
        <f>E62*G62+88</f>
        <v>4000.2000000000003</v>
      </c>
      <c r="G62" s="127">
        <v>391.22</v>
      </c>
    </row>
    <row r="63" spans="1:7" s="61" customFormat="1" ht="45" customHeight="1">
      <c r="A63" s="89" t="s">
        <v>41</v>
      </c>
      <c r="B63" s="113" t="s">
        <v>536</v>
      </c>
      <c r="C63" s="86" t="s">
        <v>383</v>
      </c>
      <c r="D63" s="69" t="s">
        <v>12</v>
      </c>
      <c r="E63" s="74">
        <v>3.2</v>
      </c>
      <c r="F63" s="125">
        <f>E63*G63-852</f>
        <v>399.9040000000002</v>
      </c>
      <c r="G63" s="127">
        <v>391.22</v>
      </c>
    </row>
    <row r="64" spans="1:7" s="61" customFormat="1" ht="21">
      <c r="A64" s="89" t="s">
        <v>42</v>
      </c>
      <c r="B64" s="113" t="s">
        <v>537</v>
      </c>
      <c r="C64" s="93" t="s">
        <v>384</v>
      </c>
      <c r="D64" s="69" t="s">
        <v>12</v>
      </c>
      <c r="E64" s="70">
        <v>0.25</v>
      </c>
      <c r="F64" s="125">
        <f>E64*G64+2</f>
        <v>99.805</v>
      </c>
      <c r="G64" s="127">
        <v>391.22</v>
      </c>
    </row>
    <row r="65" spans="1:7" s="61" customFormat="1" ht="21">
      <c r="A65" s="89" t="s">
        <v>43</v>
      </c>
      <c r="B65" s="113" t="s">
        <v>538</v>
      </c>
      <c r="C65" s="93" t="s">
        <v>44</v>
      </c>
      <c r="D65" s="69" t="s">
        <v>12</v>
      </c>
      <c r="E65" s="70">
        <v>1.53</v>
      </c>
      <c r="F65" s="125">
        <f>E65*G65-199</f>
        <v>399.5666000000001</v>
      </c>
      <c r="G65" s="127">
        <v>391.22</v>
      </c>
    </row>
    <row r="66" spans="1:7" s="61" customFormat="1" ht="21">
      <c r="A66" s="89" t="s">
        <v>45</v>
      </c>
      <c r="B66" s="113" t="s">
        <v>539</v>
      </c>
      <c r="C66" s="93" t="s">
        <v>46</v>
      </c>
      <c r="D66" s="69" t="s">
        <v>12</v>
      </c>
      <c r="E66" s="70">
        <v>0.48</v>
      </c>
      <c r="F66" s="125">
        <f>E66*G66+12</f>
        <v>199.78560000000002</v>
      </c>
      <c r="G66" s="127">
        <v>391.22</v>
      </c>
    </row>
    <row r="67" spans="1:7" s="61" customFormat="1" ht="61.5" customHeight="1">
      <c r="A67" s="89"/>
      <c r="B67" s="113" t="s">
        <v>540</v>
      </c>
      <c r="C67" s="58" t="s">
        <v>337</v>
      </c>
      <c r="D67" s="69"/>
      <c r="E67" s="70"/>
      <c r="F67" s="125">
        <f>E67*G67</f>
        <v>0</v>
      </c>
      <c r="G67" s="127">
        <v>391.22</v>
      </c>
    </row>
    <row r="68" spans="1:7" s="61" customFormat="1" ht="21">
      <c r="A68" s="89" t="s">
        <v>47</v>
      </c>
      <c r="B68" s="113" t="s">
        <v>541</v>
      </c>
      <c r="C68" s="93" t="s">
        <v>48</v>
      </c>
      <c r="D68" s="69" t="s">
        <v>12</v>
      </c>
      <c r="E68" s="70">
        <v>0.3</v>
      </c>
      <c r="F68" s="125">
        <f>E68*G68-17</f>
        <v>100.366</v>
      </c>
      <c r="G68" s="127">
        <v>391.22</v>
      </c>
    </row>
    <row r="69" spans="1:7" s="61" customFormat="1" ht="21">
      <c r="A69" s="89" t="s">
        <v>329</v>
      </c>
      <c r="B69" s="113" t="s">
        <v>542</v>
      </c>
      <c r="C69" s="93" t="s">
        <v>330</v>
      </c>
      <c r="D69" s="69" t="s">
        <v>12</v>
      </c>
      <c r="E69" s="70">
        <v>0.21</v>
      </c>
      <c r="F69" s="125">
        <f>E69*G69+118</f>
        <v>200.1562</v>
      </c>
      <c r="G69" s="127">
        <v>391.22</v>
      </c>
    </row>
    <row r="70" spans="1:7" s="61" customFormat="1" ht="40.5">
      <c r="A70" s="89" t="s">
        <v>331</v>
      </c>
      <c r="B70" s="113" t="s">
        <v>543</v>
      </c>
      <c r="C70" s="93" t="s">
        <v>332</v>
      </c>
      <c r="D70" s="69" t="s">
        <v>50</v>
      </c>
      <c r="E70" s="70">
        <v>0.46</v>
      </c>
      <c r="F70" s="125">
        <f>E70*G70+20</f>
        <v>199.96120000000002</v>
      </c>
      <c r="G70" s="127">
        <v>391.22</v>
      </c>
    </row>
    <row r="71" spans="1:7" s="61" customFormat="1" ht="40.5">
      <c r="A71" s="85" t="s">
        <v>346</v>
      </c>
      <c r="B71" s="113" t="s">
        <v>544</v>
      </c>
      <c r="C71" s="108" t="s">
        <v>385</v>
      </c>
      <c r="D71" s="69" t="s">
        <v>10</v>
      </c>
      <c r="E71" s="70">
        <v>1.53</v>
      </c>
      <c r="F71" s="125">
        <f>E71*G71+1</f>
        <v>599.5666000000001</v>
      </c>
      <c r="G71" s="127">
        <v>391.22</v>
      </c>
    </row>
    <row r="72" spans="1:7" s="61" customFormat="1" ht="40.5">
      <c r="A72" s="89" t="s">
        <v>49</v>
      </c>
      <c r="B72" s="113" t="s">
        <v>545</v>
      </c>
      <c r="C72" s="94" t="s">
        <v>362</v>
      </c>
      <c r="D72" s="69" t="s">
        <v>50</v>
      </c>
      <c r="E72" s="74">
        <v>4.8</v>
      </c>
      <c r="F72" s="125">
        <f>E72*G72-878</f>
        <v>999.856</v>
      </c>
      <c r="G72" s="127">
        <v>391.22</v>
      </c>
    </row>
    <row r="73" spans="1:7" s="61" customFormat="1" ht="40.5">
      <c r="A73" s="89" t="s">
        <v>51</v>
      </c>
      <c r="B73" s="113" t="s">
        <v>546</v>
      </c>
      <c r="C73" s="94" t="s">
        <v>363</v>
      </c>
      <c r="D73" s="69" t="s">
        <v>50</v>
      </c>
      <c r="E73" s="74">
        <v>0.45</v>
      </c>
      <c r="F73" s="125">
        <f>E73*G73+324</f>
        <v>500.049</v>
      </c>
      <c r="G73" s="127">
        <v>391.22</v>
      </c>
    </row>
    <row r="74" spans="1:7" s="61" customFormat="1" ht="81">
      <c r="A74" s="89" t="s">
        <v>52</v>
      </c>
      <c r="B74" s="113" t="s">
        <v>547</v>
      </c>
      <c r="C74" s="10" t="s">
        <v>364</v>
      </c>
      <c r="D74" s="69" t="s">
        <v>50</v>
      </c>
      <c r="E74" s="70">
        <v>0.92</v>
      </c>
      <c r="F74" s="125">
        <f>E74*G74+140</f>
        <v>499.92240000000004</v>
      </c>
      <c r="G74" s="127">
        <v>391.22</v>
      </c>
    </row>
    <row r="75" spans="1:7" s="61" customFormat="1" ht="60.75">
      <c r="A75" s="89" t="s">
        <v>52</v>
      </c>
      <c r="B75" s="113" t="s">
        <v>548</v>
      </c>
      <c r="C75" s="10" t="s">
        <v>365</v>
      </c>
      <c r="D75" s="69" t="s">
        <v>50</v>
      </c>
      <c r="E75" s="70">
        <v>0.92</v>
      </c>
      <c r="F75" s="125">
        <f>E75*G75+140</f>
        <v>499.92240000000004</v>
      </c>
      <c r="G75" s="127">
        <v>391.22</v>
      </c>
    </row>
    <row r="76" spans="1:7" s="61" customFormat="1" ht="60.75">
      <c r="A76" s="89" t="s">
        <v>53</v>
      </c>
      <c r="B76" s="113" t="s">
        <v>549</v>
      </c>
      <c r="C76" s="10" t="s">
        <v>366</v>
      </c>
      <c r="D76" s="69" t="s">
        <v>50</v>
      </c>
      <c r="E76" s="70">
        <v>1.71</v>
      </c>
      <c r="F76" s="125">
        <f>E76*G76+31</f>
        <v>699.9862</v>
      </c>
      <c r="G76" s="127">
        <v>391.22</v>
      </c>
    </row>
    <row r="77" spans="1:7" s="61" customFormat="1" ht="60.75">
      <c r="A77" s="89" t="s">
        <v>54</v>
      </c>
      <c r="B77" s="113" t="s">
        <v>550</v>
      </c>
      <c r="C77" s="10" t="s">
        <v>367</v>
      </c>
      <c r="D77" s="69" t="s">
        <v>50</v>
      </c>
      <c r="E77" s="73">
        <v>2</v>
      </c>
      <c r="F77" s="125">
        <f>E77*G77-82</f>
        <v>700.44</v>
      </c>
      <c r="G77" s="127">
        <v>391.22</v>
      </c>
    </row>
    <row r="78" spans="1:7" s="61" customFormat="1" ht="60.75">
      <c r="A78" s="89" t="s">
        <v>347</v>
      </c>
      <c r="B78" s="113" t="s">
        <v>551</v>
      </c>
      <c r="C78" s="10" t="s">
        <v>386</v>
      </c>
      <c r="D78" s="69" t="s">
        <v>50</v>
      </c>
      <c r="E78" s="74">
        <v>1.5</v>
      </c>
      <c r="F78" s="125">
        <f>E78*G78--87</f>
        <v>673.83</v>
      </c>
      <c r="G78" s="127">
        <v>391.22</v>
      </c>
    </row>
    <row r="79" spans="1:7" s="61" customFormat="1" ht="81">
      <c r="A79" s="89" t="s">
        <v>55</v>
      </c>
      <c r="B79" s="113" t="s">
        <v>552</v>
      </c>
      <c r="C79" s="10" t="s">
        <v>368</v>
      </c>
      <c r="D79" s="69" t="s">
        <v>50</v>
      </c>
      <c r="E79" s="73">
        <v>3.55</v>
      </c>
      <c r="F79" s="125">
        <f>E79*G79-389</f>
        <v>999.8310000000001</v>
      </c>
      <c r="G79" s="127">
        <v>391.22</v>
      </c>
    </row>
    <row r="80" spans="1:7" s="61" customFormat="1" ht="81">
      <c r="A80" s="89" t="s">
        <v>348</v>
      </c>
      <c r="B80" s="113" t="s">
        <v>553</v>
      </c>
      <c r="C80" s="10" t="s">
        <v>387</v>
      </c>
      <c r="D80" s="69" t="s">
        <v>50</v>
      </c>
      <c r="E80" s="74">
        <v>1.75</v>
      </c>
      <c r="F80" s="125">
        <f>E80*G80+15</f>
        <v>699.635</v>
      </c>
      <c r="G80" s="127">
        <v>391.22</v>
      </c>
    </row>
    <row r="81" spans="1:7" s="61" customFormat="1" ht="47.25" customHeight="1">
      <c r="A81" s="95" t="s">
        <v>56</v>
      </c>
      <c r="B81" s="113" t="s">
        <v>554</v>
      </c>
      <c r="C81" s="96" t="s">
        <v>328</v>
      </c>
      <c r="D81" s="72" t="s">
        <v>50</v>
      </c>
      <c r="E81" s="73">
        <v>1.7</v>
      </c>
      <c r="F81" s="125">
        <f>E81*G81-65</f>
        <v>600.0740000000001</v>
      </c>
      <c r="G81" s="127">
        <v>391.22</v>
      </c>
    </row>
    <row r="82" spans="1:7" s="79" customFormat="1" ht="62.25" customHeight="1">
      <c r="A82" s="95" t="s">
        <v>56</v>
      </c>
      <c r="B82" s="113" t="s">
        <v>555</v>
      </c>
      <c r="C82" s="96" t="s">
        <v>369</v>
      </c>
      <c r="D82" s="72" t="s">
        <v>50</v>
      </c>
      <c r="E82" s="73">
        <v>1.7</v>
      </c>
      <c r="F82" s="125">
        <f>E82*G82-65</f>
        <v>600.0740000000001</v>
      </c>
      <c r="G82" s="127">
        <v>391.22</v>
      </c>
    </row>
    <row r="83" spans="1:7" s="61" customFormat="1" ht="40.5">
      <c r="A83" s="95" t="s">
        <v>57</v>
      </c>
      <c r="B83" s="113" t="s">
        <v>556</v>
      </c>
      <c r="C83" s="96" t="s">
        <v>58</v>
      </c>
      <c r="D83" s="72" t="s">
        <v>50</v>
      </c>
      <c r="E83" s="73">
        <v>1.16</v>
      </c>
      <c r="F83" s="125">
        <f>E83*G83-4</f>
        <v>449.8152</v>
      </c>
      <c r="G83" s="127">
        <v>391.22</v>
      </c>
    </row>
    <row r="84" spans="1:7" s="61" customFormat="1" ht="40.5">
      <c r="A84" s="89" t="s">
        <v>59</v>
      </c>
      <c r="B84" s="113" t="s">
        <v>557</v>
      </c>
      <c r="C84" s="94" t="s">
        <v>60</v>
      </c>
      <c r="D84" s="69" t="s">
        <v>50</v>
      </c>
      <c r="E84" s="70">
        <v>0.5</v>
      </c>
      <c r="F84" s="125">
        <f>E84*G84+104</f>
        <v>299.61</v>
      </c>
      <c r="G84" s="127">
        <v>391.22</v>
      </c>
    </row>
    <row r="85" spans="1:7" s="61" customFormat="1" ht="40.5">
      <c r="A85" s="50" t="s">
        <v>61</v>
      </c>
      <c r="B85" s="113" t="s">
        <v>558</v>
      </c>
      <c r="C85" s="10" t="s">
        <v>62</v>
      </c>
      <c r="D85" s="69" t="s">
        <v>50</v>
      </c>
      <c r="E85" s="74">
        <v>2.4</v>
      </c>
      <c r="F85" s="125">
        <f>E85*G85-239</f>
        <v>699.928</v>
      </c>
      <c r="G85" s="127">
        <v>391.22</v>
      </c>
    </row>
    <row r="86" spans="1:7" s="61" customFormat="1" ht="60.75">
      <c r="A86" s="2" t="s">
        <v>65</v>
      </c>
      <c r="B86" s="113" t="s">
        <v>559</v>
      </c>
      <c r="C86" s="97" t="s">
        <v>66</v>
      </c>
      <c r="D86" s="98" t="s">
        <v>50</v>
      </c>
      <c r="E86" s="99">
        <v>1.8</v>
      </c>
      <c r="F86" s="125">
        <f>E86*G86-4</f>
        <v>700.196</v>
      </c>
      <c r="G86" s="127">
        <v>391.22</v>
      </c>
    </row>
    <row r="87" spans="1:7" s="61" customFormat="1" ht="54" customHeight="1">
      <c r="A87" s="5"/>
      <c r="B87" s="114" t="s">
        <v>560</v>
      </c>
      <c r="C87" s="107" t="s">
        <v>335</v>
      </c>
      <c r="D87" s="69"/>
      <c r="E87" s="74"/>
      <c r="F87" s="125">
        <f>E87*G87</f>
        <v>0</v>
      </c>
      <c r="G87" s="127">
        <v>391.22</v>
      </c>
    </row>
    <row r="88" spans="1:7" s="61" customFormat="1" ht="40.5">
      <c r="A88" s="4" t="s">
        <v>19</v>
      </c>
      <c r="B88" s="114" t="s">
        <v>561</v>
      </c>
      <c r="C88" s="7" t="s">
        <v>20</v>
      </c>
      <c r="D88" s="69" t="s">
        <v>12</v>
      </c>
      <c r="E88" s="70">
        <v>0.2</v>
      </c>
      <c r="F88" s="125">
        <f>E88*G88-3</f>
        <v>75.24400000000001</v>
      </c>
      <c r="G88" s="127">
        <v>391.22</v>
      </c>
    </row>
    <row r="89" spans="1:7" s="61" customFormat="1" ht="31.5" customHeight="1">
      <c r="A89" s="4" t="s">
        <v>21</v>
      </c>
      <c r="B89" s="114" t="s">
        <v>562</v>
      </c>
      <c r="C89" s="7" t="s">
        <v>340</v>
      </c>
      <c r="D89" s="69" t="s">
        <v>22</v>
      </c>
      <c r="E89" s="70">
        <v>2</v>
      </c>
      <c r="F89" s="125">
        <f>E89*G89-282</f>
        <v>500.44000000000005</v>
      </c>
      <c r="G89" s="127">
        <v>391.22</v>
      </c>
    </row>
    <row r="90" spans="1:7" s="61" customFormat="1" ht="40.5">
      <c r="A90" s="4" t="s">
        <v>23</v>
      </c>
      <c r="B90" s="114" t="s">
        <v>563</v>
      </c>
      <c r="C90" s="7" t="s">
        <v>359</v>
      </c>
      <c r="D90" s="69" t="s">
        <v>12</v>
      </c>
      <c r="E90" s="74">
        <v>0.4</v>
      </c>
      <c r="F90" s="125">
        <f>E90*G90-156</f>
        <v>0.48800000000002797</v>
      </c>
      <c r="G90" s="127">
        <v>391.22</v>
      </c>
    </row>
    <row r="91" spans="1:7" s="61" customFormat="1" ht="40.5">
      <c r="A91" s="4" t="s">
        <v>25</v>
      </c>
      <c r="B91" s="114" t="s">
        <v>564</v>
      </c>
      <c r="C91" s="7" t="s">
        <v>26</v>
      </c>
      <c r="D91" s="69" t="s">
        <v>12</v>
      </c>
      <c r="E91" s="74">
        <v>1.2</v>
      </c>
      <c r="F91" s="125">
        <f>E91*G91-69</f>
        <v>400.464</v>
      </c>
      <c r="G91" s="127">
        <v>391.22</v>
      </c>
    </row>
    <row r="92" spans="1:7" s="61" customFormat="1" ht="60.75">
      <c r="A92" s="4" t="s">
        <v>29</v>
      </c>
      <c r="B92" s="114" t="s">
        <v>565</v>
      </c>
      <c r="C92" s="7" t="s">
        <v>360</v>
      </c>
      <c r="D92" s="69" t="s">
        <v>12</v>
      </c>
      <c r="E92" s="74">
        <v>1.6</v>
      </c>
      <c r="F92" s="125">
        <f>E92*G92-26</f>
        <v>599.9520000000001</v>
      </c>
      <c r="G92" s="127">
        <v>391.22</v>
      </c>
    </row>
    <row r="93" spans="1:7" s="61" customFormat="1" ht="40.5">
      <c r="A93" s="4" t="s">
        <v>31</v>
      </c>
      <c r="B93" s="114" t="s">
        <v>566</v>
      </c>
      <c r="C93" s="60" t="s">
        <v>380</v>
      </c>
      <c r="D93" s="69" t="s">
        <v>12</v>
      </c>
      <c r="E93" s="74">
        <v>0.5</v>
      </c>
      <c r="F93" s="125">
        <f>E93*G93+4</f>
        <v>199.61</v>
      </c>
      <c r="G93" s="127">
        <v>391.22</v>
      </c>
    </row>
    <row r="94" spans="1:7" s="61" customFormat="1" ht="66.75" customHeight="1">
      <c r="A94" s="4" t="s">
        <v>85</v>
      </c>
      <c r="B94" s="114" t="s">
        <v>567</v>
      </c>
      <c r="C94" s="7" t="s">
        <v>313</v>
      </c>
      <c r="D94" s="81" t="s">
        <v>10</v>
      </c>
      <c r="E94" s="70">
        <v>2</v>
      </c>
      <c r="F94" s="125">
        <f>E94*G94-82</f>
        <v>700.44</v>
      </c>
      <c r="G94" s="127">
        <v>391.22</v>
      </c>
    </row>
    <row r="95" spans="1:7" s="61" customFormat="1" ht="52.5" customHeight="1">
      <c r="A95" s="50" t="s">
        <v>32</v>
      </c>
      <c r="B95" s="114" t="s">
        <v>568</v>
      </c>
      <c r="C95" s="57" t="s">
        <v>33</v>
      </c>
      <c r="D95" s="81" t="s">
        <v>10</v>
      </c>
      <c r="E95" s="78">
        <v>0.45</v>
      </c>
      <c r="F95" s="125">
        <f>E95*G95+124</f>
        <v>300.049</v>
      </c>
      <c r="G95" s="127">
        <v>391.22</v>
      </c>
    </row>
    <row r="96" spans="1:7" s="61" customFormat="1" ht="51" customHeight="1">
      <c r="A96" s="50" t="s">
        <v>63</v>
      </c>
      <c r="B96" s="114" t="s">
        <v>569</v>
      </c>
      <c r="C96" s="54" t="s">
        <v>64</v>
      </c>
      <c r="D96" s="82" t="s">
        <v>10</v>
      </c>
      <c r="E96" s="78">
        <v>0.5</v>
      </c>
      <c r="F96" s="125">
        <f>E96*G96+4</f>
        <v>199.61</v>
      </c>
      <c r="G96" s="127">
        <v>391.22</v>
      </c>
    </row>
    <row r="97" spans="1:7" s="61" customFormat="1" ht="21">
      <c r="A97" s="162"/>
      <c r="B97" s="162" t="s">
        <v>570</v>
      </c>
      <c r="C97" s="162" t="s">
        <v>67</v>
      </c>
      <c r="D97" s="162"/>
      <c r="E97" s="162"/>
      <c r="F97" s="162"/>
      <c r="G97" s="127"/>
    </row>
    <row r="98" spans="1:7" s="61" customFormat="1" ht="40.5">
      <c r="A98" s="51" t="s">
        <v>68</v>
      </c>
      <c r="B98" s="111" t="s">
        <v>571</v>
      </c>
      <c r="C98" s="59" t="s">
        <v>69</v>
      </c>
      <c r="D98" s="100" t="s">
        <v>3</v>
      </c>
      <c r="E98" s="101">
        <v>1.4</v>
      </c>
      <c r="F98" s="125">
        <f>E98*G98-48</f>
        <v>499.70799999999997</v>
      </c>
      <c r="G98" s="127">
        <v>391.22</v>
      </c>
    </row>
    <row r="99" spans="1:7" s="61" customFormat="1" ht="40.5">
      <c r="A99" s="51" t="s">
        <v>70</v>
      </c>
      <c r="B99" s="111" t="s">
        <v>572</v>
      </c>
      <c r="C99" s="59" t="s">
        <v>71</v>
      </c>
      <c r="D99" s="100" t="s">
        <v>4</v>
      </c>
      <c r="E99" s="101">
        <v>1.08</v>
      </c>
      <c r="F99" s="125">
        <f>E99*G99-23</f>
        <v>399.5176000000001</v>
      </c>
      <c r="G99" s="127">
        <v>391.22</v>
      </c>
    </row>
    <row r="100" spans="1:7" s="61" customFormat="1" ht="21">
      <c r="A100" s="51" t="s">
        <v>72</v>
      </c>
      <c r="B100" s="111" t="s">
        <v>573</v>
      </c>
      <c r="C100" s="8" t="s">
        <v>351</v>
      </c>
      <c r="D100" s="69" t="s">
        <v>12</v>
      </c>
      <c r="E100" s="101">
        <v>1.01</v>
      </c>
      <c r="F100" s="125">
        <f>E100*G100+5</f>
        <v>400.1322</v>
      </c>
      <c r="G100" s="127">
        <v>391.22</v>
      </c>
    </row>
    <row r="101" spans="1:7" s="61" customFormat="1" ht="21">
      <c r="A101" s="51" t="s">
        <v>73</v>
      </c>
      <c r="B101" s="111" t="s">
        <v>574</v>
      </c>
      <c r="C101" s="7" t="s">
        <v>74</v>
      </c>
      <c r="D101" s="69" t="s">
        <v>12</v>
      </c>
      <c r="E101" s="101">
        <v>1.55</v>
      </c>
      <c r="F101" s="125">
        <f>E101*G101+294</f>
        <v>900.3910000000001</v>
      </c>
      <c r="G101" s="127">
        <v>391.22</v>
      </c>
    </row>
    <row r="102" spans="1:7" s="61" customFormat="1" ht="21">
      <c r="A102" s="51" t="s">
        <v>75</v>
      </c>
      <c r="B102" s="111" t="s">
        <v>575</v>
      </c>
      <c r="C102" s="7" t="s">
        <v>76</v>
      </c>
      <c r="D102" s="69" t="s">
        <v>12</v>
      </c>
      <c r="E102" s="70">
        <v>2.58</v>
      </c>
      <c r="F102" s="125">
        <f>E102*G102+191</f>
        <v>1200.3476</v>
      </c>
      <c r="G102" s="127">
        <v>391.22</v>
      </c>
    </row>
    <row r="103" spans="1:7" s="61" customFormat="1" ht="40.5">
      <c r="A103" s="51" t="s">
        <v>77</v>
      </c>
      <c r="B103" s="111" t="s">
        <v>576</v>
      </c>
      <c r="C103" s="7" t="s">
        <v>352</v>
      </c>
      <c r="D103" s="69" t="s">
        <v>78</v>
      </c>
      <c r="E103" s="70">
        <v>3</v>
      </c>
      <c r="F103" s="125">
        <f>E103*G103+326</f>
        <v>1499.66</v>
      </c>
      <c r="G103" s="127">
        <v>391.22</v>
      </c>
    </row>
    <row r="104" spans="1:7" s="61" customFormat="1" ht="21">
      <c r="A104" s="51" t="s">
        <v>79</v>
      </c>
      <c r="B104" s="111" t="s">
        <v>577</v>
      </c>
      <c r="C104" s="7" t="s">
        <v>388</v>
      </c>
      <c r="D104" s="69" t="s">
        <v>12</v>
      </c>
      <c r="E104" s="103">
        <v>0.4</v>
      </c>
      <c r="F104" s="125">
        <f>E104*G104+44</f>
        <v>200.48800000000003</v>
      </c>
      <c r="G104" s="127">
        <v>391.22</v>
      </c>
    </row>
    <row r="105" spans="1:7" s="61" customFormat="1" ht="60.75">
      <c r="A105" s="51" t="s">
        <v>80</v>
      </c>
      <c r="B105" s="111" t="s">
        <v>578</v>
      </c>
      <c r="C105" s="7" t="s">
        <v>389</v>
      </c>
      <c r="D105" s="69" t="s">
        <v>12</v>
      </c>
      <c r="E105" s="70">
        <v>2.58</v>
      </c>
      <c r="F105" s="125">
        <f>E105*G105+191</f>
        <v>1200.3476</v>
      </c>
      <c r="G105" s="127">
        <v>391.22</v>
      </c>
    </row>
    <row r="106" spans="1:7" s="61" customFormat="1" ht="40.5">
      <c r="A106" s="51" t="s">
        <v>294</v>
      </c>
      <c r="B106" s="111" t="s">
        <v>579</v>
      </c>
      <c r="C106" s="7" t="s">
        <v>295</v>
      </c>
      <c r="D106" s="69" t="s">
        <v>86</v>
      </c>
      <c r="E106" s="101">
        <v>1.25</v>
      </c>
      <c r="F106" s="125">
        <f>E106*G106+11</f>
        <v>500.02500000000003</v>
      </c>
      <c r="G106" s="127">
        <v>391.22</v>
      </c>
    </row>
    <row r="107" spans="1:7" s="61" customFormat="1" ht="60.75">
      <c r="A107" s="51" t="s">
        <v>296</v>
      </c>
      <c r="B107" s="111" t="s">
        <v>580</v>
      </c>
      <c r="C107" s="7" t="s">
        <v>297</v>
      </c>
      <c r="D107" s="69" t="s">
        <v>86</v>
      </c>
      <c r="E107" s="101">
        <v>1</v>
      </c>
      <c r="F107" s="125">
        <f>E107*G107+109</f>
        <v>500.22</v>
      </c>
      <c r="G107" s="127">
        <v>391.22</v>
      </c>
    </row>
    <row r="108" spans="1:7" s="61" customFormat="1" ht="40.5">
      <c r="A108" s="51" t="s">
        <v>81</v>
      </c>
      <c r="B108" s="111" t="s">
        <v>581</v>
      </c>
      <c r="C108" s="7" t="s">
        <v>370</v>
      </c>
      <c r="D108" s="69" t="s">
        <v>12</v>
      </c>
      <c r="E108" s="70">
        <v>2.58</v>
      </c>
      <c r="F108" s="125">
        <f>E108*G108+191</f>
        <v>1200.3476</v>
      </c>
      <c r="G108" s="127">
        <v>391.22</v>
      </c>
    </row>
    <row r="109" spans="1:7" s="61" customFormat="1" ht="21">
      <c r="A109" s="51" t="s">
        <v>82</v>
      </c>
      <c r="B109" s="111" t="s">
        <v>582</v>
      </c>
      <c r="C109" s="7" t="s">
        <v>83</v>
      </c>
      <c r="D109" s="69" t="s">
        <v>84</v>
      </c>
      <c r="E109" s="101">
        <v>0.84</v>
      </c>
      <c r="F109" s="125">
        <f>E109*G109-29</f>
        <v>299.6248</v>
      </c>
      <c r="G109" s="127">
        <v>391.22</v>
      </c>
    </row>
    <row r="110" spans="1:7" s="61" customFormat="1" ht="40.5">
      <c r="A110" s="51" t="s">
        <v>85</v>
      </c>
      <c r="B110" s="111" t="s">
        <v>583</v>
      </c>
      <c r="C110" s="7" t="s">
        <v>314</v>
      </c>
      <c r="D110" s="69" t="s">
        <v>10</v>
      </c>
      <c r="E110" s="101">
        <v>1.06</v>
      </c>
      <c r="F110" s="125">
        <f>E110*G110-15</f>
        <v>399.69320000000005</v>
      </c>
      <c r="G110" s="127">
        <v>391.22</v>
      </c>
    </row>
    <row r="111" spans="1:7" s="61" customFormat="1" ht="40.5">
      <c r="A111" s="51" t="s">
        <v>315</v>
      </c>
      <c r="B111" s="111" t="s">
        <v>584</v>
      </c>
      <c r="C111" s="7" t="s">
        <v>316</v>
      </c>
      <c r="D111" s="69" t="s">
        <v>10</v>
      </c>
      <c r="E111" s="101">
        <v>1.06</v>
      </c>
      <c r="F111" s="125">
        <f>E111*G111-15</f>
        <v>399.69320000000005</v>
      </c>
      <c r="G111" s="127">
        <v>391.22</v>
      </c>
    </row>
    <row r="112" spans="1:7" s="61" customFormat="1" ht="40.5">
      <c r="A112" s="51" t="s">
        <v>317</v>
      </c>
      <c r="B112" s="111" t="s">
        <v>585</v>
      </c>
      <c r="C112" s="7" t="s">
        <v>318</v>
      </c>
      <c r="D112" s="69" t="s">
        <v>10</v>
      </c>
      <c r="E112" s="101">
        <v>1.3</v>
      </c>
      <c r="F112" s="125">
        <f>E112*G112-9</f>
        <v>499.58600000000007</v>
      </c>
      <c r="G112" s="127">
        <v>391.22</v>
      </c>
    </row>
    <row r="113" spans="1:7" s="61" customFormat="1" ht="21">
      <c r="A113" s="51" t="s">
        <v>319</v>
      </c>
      <c r="B113" s="111" t="s">
        <v>586</v>
      </c>
      <c r="C113" s="7" t="s">
        <v>320</v>
      </c>
      <c r="D113" s="69" t="s">
        <v>84</v>
      </c>
      <c r="E113" s="101">
        <v>0.84</v>
      </c>
      <c r="F113" s="125">
        <f>E113*G113+71</f>
        <v>399.6248</v>
      </c>
      <c r="G113" s="127">
        <v>391.22</v>
      </c>
    </row>
    <row r="114" spans="1:7" s="61" customFormat="1" ht="40.5">
      <c r="A114" s="51" t="s">
        <v>321</v>
      </c>
      <c r="B114" s="111" t="s">
        <v>587</v>
      </c>
      <c r="C114" s="7" t="s">
        <v>322</v>
      </c>
      <c r="D114" s="69" t="s">
        <v>10</v>
      </c>
      <c r="E114" s="101">
        <v>1</v>
      </c>
      <c r="F114" s="125">
        <f>E114*G114+109</f>
        <v>500.22</v>
      </c>
      <c r="G114" s="127">
        <v>391.22</v>
      </c>
    </row>
    <row r="115" spans="1:7" s="61" customFormat="1" ht="40.5">
      <c r="A115" s="51" t="s">
        <v>87</v>
      </c>
      <c r="B115" s="111" t="s">
        <v>588</v>
      </c>
      <c r="C115" s="7" t="s">
        <v>88</v>
      </c>
      <c r="D115" s="69" t="s">
        <v>78</v>
      </c>
      <c r="E115" s="101">
        <v>1</v>
      </c>
      <c r="F115" s="125">
        <f>E115*G115+409</f>
        <v>800.22</v>
      </c>
      <c r="G115" s="127">
        <v>391.22</v>
      </c>
    </row>
    <row r="116" spans="1:7" s="61" customFormat="1" ht="21">
      <c r="A116" s="51" t="s">
        <v>89</v>
      </c>
      <c r="B116" s="111" t="s">
        <v>589</v>
      </c>
      <c r="C116" s="7" t="s">
        <v>371</v>
      </c>
      <c r="D116" s="69" t="s">
        <v>78</v>
      </c>
      <c r="E116" s="102">
        <v>4.8</v>
      </c>
      <c r="F116" s="125">
        <f>E116*G116+622</f>
        <v>2499.8559999999998</v>
      </c>
      <c r="G116" s="127">
        <v>391.22</v>
      </c>
    </row>
    <row r="117" spans="1:7" s="61" customFormat="1" ht="21">
      <c r="A117" s="51" t="s">
        <v>90</v>
      </c>
      <c r="B117" s="111" t="s">
        <v>590</v>
      </c>
      <c r="C117" s="7" t="s">
        <v>372</v>
      </c>
      <c r="D117" s="69" t="s">
        <v>78</v>
      </c>
      <c r="E117" s="102">
        <v>6.4</v>
      </c>
      <c r="F117" s="125">
        <f>E117*G117+996</f>
        <v>3499.8080000000004</v>
      </c>
      <c r="G117" s="127">
        <v>391.22</v>
      </c>
    </row>
    <row r="118" spans="1:7" s="61" customFormat="1" ht="21">
      <c r="A118" s="51" t="s">
        <v>91</v>
      </c>
      <c r="B118" s="111" t="s">
        <v>591</v>
      </c>
      <c r="C118" s="7" t="s">
        <v>92</v>
      </c>
      <c r="D118" s="69" t="s">
        <v>78</v>
      </c>
      <c r="E118" s="101">
        <v>3.89</v>
      </c>
      <c r="F118" s="125">
        <f>E118*G118+478</f>
        <v>1999.8458</v>
      </c>
      <c r="G118" s="127">
        <v>391.22</v>
      </c>
    </row>
    <row r="119" spans="1:7" s="61" customFormat="1" ht="60.75">
      <c r="A119" s="51" t="s">
        <v>93</v>
      </c>
      <c r="B119" s="111" t="s">
        <v>592</v>
      </c>
      <c r="C119" s="7" t="s">
        <v>373</v>
      </c>
      <c r="D119" s="69" t="s">
        <v>78</v>
      </c>
      <c r="E119" s="70">
        <v>2.33</v>
      </c>
      <c r="F119" s="125">
        <f>E119*G119+88</f>
        <v>999.5426000000001</v>
      </c>
      <c r="G119" s="127">
        <v>391.22</v>
      </c>
    </row>
    <row r="120" spans="1:7" s="61" customFormat="1" ht="21">
      <c r="A120" s="52" t="s">
        <v>94</v>
      </c>
      <c r="B120" s="111" t="s">
        <v>593</v>
      </c>
      <c r="C120" s="6" t="s">
        <v>95</v>
      </c>
      <c r="D120" s="72" t="s">
        <v>78</v>
      </c>
      <c r="E120" s="104">
        <v>4.3</v>
      </c>
      <c r="F120" s="125">
        <f>E120*G120+318</f>
        <v>2000.246</v>
      </c>
      <c r="G120" s="127">
        <v>391.22</v>
      </c>
    </row>
    <row r="121" spans="1:7" s="61" customFormat="1" ht="21">
      <c r="A121" s="52" t="s">
        <v>323</v>
      </c>
      <c r="B121" s="111" t="s">
        <v>594</v>
      </c>
      <c r="C121" s="6" t="s">
        <v>324</v>
      </c>
      <c r="D121" s="72" t="s">
        <v>78</v>
      </c>
      <c r="E121" s="104">
        <v>4.3</v>
      </c>
      <c r="F121" s="125">
        <f>E121*G121+318</f>
        <v>2000.246</v>
      </c>
      <c r="G121" s="127">
        <v>391.22</v>
      </c>
    </row>
    <row r="122" spans="1:7" s="61" customFormat="1" ht="40.5">
      <c r="A122" s="51" t="s">
        <v>96</v>
      </c>
      <c r="B122" s="111" t="s">
        <v>595</v>
      </c>
      <c r="C122" s="7" t="s">
        <v>97</v>
      </c>
      <c r="D122" s="69" t="s">
        <v>78</v>
      </c>
      <c r="E122" s="70">
        <v>1.04</v>
      </c>
      <c r="F122" s="125">
        <f>E122*G122+393</f>
        <v>799.8688</v>
      </c>
      <c r="G122" s="127">
        <v>391.22</v>
      </c>
    </row>
    <row r="123" spans="1:7" s="61" customFormat="1" ht="21">
      <c r="A123" s="51" t="s">
        <v>98</v>
      </c>
      <c r="B123" s="111" t="s">
        <v>596</v>
      </c>
      <c r="C123" s="7" t="s">
        <v>99</v>
      </c>
      <c r="D123" s="69" t="s">
        <v>78</v>
      </c>
      <c r="E123" s="70">
        <v>2.1</v>
      </c>
      <c r="F123" s="125">
        <f>E123*G123+1678</f>
        <v>2499.562</v>
      </c>
      <c r="G123" s="127">
        <v>391.22</v>
      </c>
    </row>
    <row r="124" spans="1:7" s="61" customFormat="1" ht="21">
      <c r="A124" s="51" t="s">
        <v>100</v>
      </c>
      <c r="B124" s="111" t="s">
        <v>597</v>
      </c>
      <c r="C124" s="7" t="s">
        <v>101</v>
      </c>
      <c r="D124" s="69" t="s">
        <v>78</v>
      </c>
      <c r="E124" s="70">
        <v>2.1</v>
      </c>
      <c r="F124" s="125">
        <f>E124*G124+2178</f>
        <v>2999.562</v>
      </c>
      <c r="G124" s="127">
        <v>391.22</v>
      </c>
    </row>
    <row r="125" spans="1:7" s="61" customFormat="1" ht="21">
      <c r="A125" s="51" t="s">
        <v>102</v>
      </c>
      <c r="B125" s="111" t="s">
        <v>598</v>
      </c>
      <c r="C125" s="7" t="s">
        <v>374</v>
      </c>
      <c r="D125" s="69" t="s">
        <v>78</v>
      </c>
      <c r="E125" s="70">
        <v>1</v>
      </c>
      <c r="F125" s="125">
        <f>E125*G125+1609</f>
        <v>2000.22</v>
      </c>
      <c r="G125" s="127">
        <v>391.22</v>
      </c>
    </row>
    <row r="126" spans="1:7" s="61" customFormat="1" ht="21">
      <c r="A126" s="51" t="s">
        <v>103</v>
      </c>
      <c r="B126" s="111" t="s">
        <v>599</v>
      </c>
      <c r="C126" s="7" t="s">
        <v>375</v>
      </c>
      <c r="D126" s="69" t="s">
        <v>78</v>
      </c>
      <c r="E126" s="102">
        <v>2.4</v>
      </c>
      <c r="F126" s="125">
        <f>E126*G126+61</f>
        <v>999.928</v>
      </c>
      <c r="G126" s="127">
        <v>391.22</v>
      </c>
    </row>
    <row r="127" spans="1:7" s="61" customFormat="1" ht="21">
      <c r="A127" s="51" t="s">
        <v>104</v>
      </c>
      <c r="B127" s="111" t="s">
        <v>600</v>
      </c>
      <c r="C127" s="7" t="s">
        <v>376</v>
      </c>
      <c r="D127" s="69" t="s">
        <v>78</v>
      </c>
      <c r="E127" s="102">
        <v>6.4</v>
      </c>
      <c r="F127" s="125">
        <f>E127*G127+496</f>
        <v>2999.8080000000004</v>
      </c>
      <c r="G127" s="127">
        <v>391.22</v>
      </c>
    </row>
    <row r="128" spans="1:7" s="61" customFormat="1" ht="40.5">
      <c r="A128" s="51" t="s">
        <v>105</v>
      </c>
      <c r="B128" s="111" t="s">
        <v>601</v>
      </c>
      <c r="C128" s="7" t="s">
        <v>106</v>
      </c>
      <c r="D128" s="69" t="s">
        <v>10</v>
      </c>
      <c r="E128" s="104">
        <v>0.38</v>
      </c>
      <c r="F128" s="125">
        <f>E128*G128+351</f>
        <v>499.6636</v>
      </c>
      <c r="G128" s="127">
        <v>391.22</v>
      </c>
    </row>
    <row r="129" spans="1:7" s="61" customFormat="1" ht="21">
      <c r="A129" s="51" t="s">
        <v>325</v>
      </c>
      <c r="B129" s="111" t="s">
        <v>602</v>
      </c>
      <c r="C129" s="7" t="s">
        <v>326</v>
      </c>
      <c r="D129" s="69" t="s">
        <v>327</v>
      </c>
      <c r="E129" s="104">
        <v>6.87</v>
      </c>
      <c r="F129" s="125">
        <f>E129*G129</f>
        <v>2687.6814000000004</v>
      </c>
      <c r="G129" s="127">
        <v>391.22</v>
      </c>
    </row>
    <row r="130" spans="1:7" s="61" customFormat="1" ht="21">
      <c r="A130" s="51" t="s">
        <v>107</v>
      </c>
      <c r="B130" s="111" t="s">
        <v>603</v>
      </c>
      <c r="C130" s="7" t="s">
        <v>108</v>
      </c>
      <c r="D130" s="69" t="s">
        <v>327</v>
      </c>
      <c r="E130" s="104">
        <v>1.43</v>
      </c>
      <c r="F130" s="125">
        <f>E130*G130+141</f>
        <v>700.4446</v>
      </c>
      <c r="G130" s="127">
        <v>391.22</v>
      </c>
    </row>
    <row r="131" spans="1:7" s="61" customFormat="1" ht="21">
      <c r="A131" s="51" t="s">
        <v>109</v>
      </c>
      <c r="B131" s="111" t="s">
        <v>604</v>
      </c>
      <c r="C131" s="9" t="s">
        <v>110</v>
      </c>
      <c r="D131" s="69" t="s">
        <v>78</v>
      </c>
      <c r="E131" s="101">
        <v>2.6</v>
      </c>
      <c r="F131" s="125">
        <f>E131*G131+183</f>
        <v>1200.172</v>
      </c>
      <c r="G131" s="127">
        <v>391.22</v>
      </c>
    </row>
    <row r="132" spans="1:7" s="148" customFormat="1" ht="195.75" customHeight="1">
      <c r="A132" s="153" t="s">
        <v>486</v>
      </c>
      <c r="B132" s="154"/>
      <c r="C132" s="154"/>
      <c r="D132" s="154"/>
      <c r="E132" s="154"/>
      <c r="F132" s="154"/>
      <c r="G132" s="147"/>
    </row>
    <row r="133" spans="1:7" s="131" customFormat="1" ht="57" customHeight="1">
      <c r="A133" s="132"/>
      <c r="B133" s="133"/>
      <c r="C133" s="134"/>
      <c r="D133" s="150"/>
      <c r="E133" s="150"/>
      <c r="F133" s="11"/>
      <c r="G133" s="130"/>
    </row>
    <row r="134" spans="2:7" s="131" customFormat="1" ht="57" customHeight="1">
      <c r="B134" s="133"/>
      <c r="C134" s="134"/>
      <c r="D134" s="151"/>
      <c r="E134" s="151"/>
      <c r="G134" s="130"/>
    </row>
    <row r="135" spans="2:7" s="131" customFormat="1" ht="15">
      <c r="B135" s="133"/>
      <c r="C135" s="134"/>
      <c r="G135" s="130"/>
    </row>
  </sheetData>
  <sheetProtection/>
  <mergeCells count="12">
    <mergeCell ref="E11:E12"/>
    <mergeCell ref="F11:F12"/>
    <mergeCell ref="B11:B12"/>
    <mergeCell ref="D133:E133"/>
    <mergeCell ref="D134:E134"/>
    <mergeCell ref="C8:F8"/>
    <mergeCell ref="C9:F9"/>
    <mergeCell ref="A132:F132"/>
    <mergeCell ref="A48:E48"/>
    <mergeCell ref="A11:A12"/>
    <mergeCell ref="C11:C12"/>
    <mergeCell ref="D11:D12"/>
  </mergeCells>
  <printOptions horizontalCentered="1"/>
  <pageMargins left="0.31496062992125984" right="0.11811023622047245" top="0.7480314960629921" bottom="0.7480314960629921" header="0.31496062992125984" footer="0.31496062992125984"/>
  <pageSetup fitToHeight="0" fitToWidth="1" horizontalDpi="600" verticalDpi="600" orientation="portrait" paperSize="9" scale="55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view="pageBreakPreview" zoomScale="60" zoomScalePageLayoutView="0" workbookViewId="0" topLeftCell="A1">
      <selection activeCell="C17" sqref="C17"/>
    </sheetView>
  </sheetViews>
  <sheetFormatPr defaultColWidth="9.140625" defaultRowHeight="15"/>
  <cols>
    <col min="1" max="1" width="27.421875" style="0" customWidth="1"/>
    <col min="2" max="2" width="27.421875" style="116" customWidth="1"/>
    <col min="3" max="3" width="48.7109375" style="0" customWidth="1"/>
    <col min="4" max="4" width="21.8515625" style="0" customWidth="1"/>
    <col min="5" max="5" width="17.7109375" style="0" customWidth="1"/>
    <col min="6" max="6" width="17.57421875" style="0" customWidth="1"/>
    <col min="7" max="7" width="14.00390625" style="0" hidden="1" customWidth="1"/>
    <col min="10" max="10" width="9.28125" style="0" bestFit="1" customWidth="1"/>
  </cols>
  <sheetData>
    <row r="1" spans="10:11" ht="15">
      <c r="J1" s="47">
        <f>106.38*1.05</f>
        <v>111.699</v>
      </c>
      <c r="K1">
        <f>254.17*1.05</f>
        <v>266.8785</v>
      </c>
    </row>
    <row r="2" ht="15">
      <c r="I2" s="47"/>
    </row>
    <row r="3" ht="15">
      <c r="I3" s="47"/>
    </row>
    <row r="4" ht="15">
      <c r="I4" s="47"/>
    </row>
    <row r="7" spans="1:6" ht="16.5">
      <c r="A7" s="161" t="s">
        <v>291</v>
      </c>
      <c r="B7" s="161"/>
      <c r="C7" s="161"/>
      <c r="D7" s="161"/>
      <c r="E7" s="161"/>
      <c r="F7" s="161"/>
    </row>
    <row r="8" ht="15.75">
      <c r="E8" s="46"/>
    </row>
    <row r="9" ht="15.75">
      <c r="E9" s="46"/>
    </row>
    <row r="10" spans="1:9" ht="30">
      <c r="A10" s="45" t="s">
        <v>0</v>
      </c>
      <c r="B10" s="117"/>
      <c r="C10" s="45" t="s">
        <v>290</v>
      </c>
      <c r="D10" s="45" t="s">
        <v>287</v>
      </c>
      <c r="E10" s="45" t="s">
        <v>1</v>
      </c>
      <c r="F10" s="45" t="s">
        <v>289</v>
      </c>
      <c r="G10" s="45" t="s">
        <v>288</v>
      </c>
      <c r="I10">
        <v>391.22</v>
      </c>
    </row>
    <row r="11" spans="1:9" ht="18.75" customHeight="1">
      <c r="A11" s="129" t="s">
        <v>286</v>
      </c>
      <c r="B11" s="118"/>
      <c r="C11" s="44"/>
      <c r="D11" s="41"/>
      <c r="E11" s="44"/>
      <c r="F11" s="43"/>
      <c r="G11" s="42"/>
      <c r="I11">
        <v>391.22</v>
      </c>
    </row>
    <row r="12" spans="1:9" ht="37.5">
      <c r="A12" s="27" t="s">
        <v>285</v>
      </c>
      <c r="B12" s="119" t="s">
        <v>417</v>
      </c>
      <c r="C12" s="26" t="s">
        <v>284</v>
      </c>
      <c r="D12" s="23"/>
      <c r="E12" s="25" t="s">
        <v>281</v>
      </c>
      <c r="F12" s="25">
        <v>4.21</v>
      </c>
      <c r="G12" s="40">
        <v>4.21</v>
      </c>
      <c r="H12">
        <f>F12*I12*1.25</f>
        <v>2058.79525</v>
      </c>
      <c r="I12">
        <v>391.22</v>
      </c>
    </row>
    <row r="13" spans="1:9" ht="37.5">
      <c r="A13" s="17" t="s">
        <v>283</v>
      </c>
      <c r="B13" s="119" t="s">
        <v>418</v>
      </c>
      <c r="C13" s="16" t="s">
        <v>282</v>
      </c>
      <c r="D13" s="13"/>
      <c r="E13" s="15" t="s">
        <v>281</v>
      </c>
      <c r="F13" s="15">
        <v>1.38</v>
      </c>
      <c r="G13" s="38">
        <v>1.38</v>
      </c>
      <c r="H13">
        <f aca="true" t="shared" si="0" ref="H13:H73">F13*I13*1.25</f>
        <v>674.8545</v>
      </c>
      <c r="I13">
        <v>391.22</v>
      </c>
    </row>
    <row r="14" spans="1:9" ht="18.75">
      <c r="A14" s="17" t="s">
        <v>280</v>
      </c>
      <c r="B14" s="119" t="s">
        <v>419</v>
      </c>
      <c r="C14" s="16" t="s">
        <v>279</v>
      </c>
      <c r="D14" s="13"/>
      <c r="E14" s="16" t="s">
        <v>276</v>
      </c>
      <c r="F14" s="15">
        <v>1.1</v>
      </c>
      <c r="G14" s="38">
        <v>1.1</v>
      </c>
      <c r="H14">
        <f t="shared" si="0"/>
        <v>537.9275</v>
      </c>
      <c r="I14">
        <v>391.22</v>
      </c>
    </row>
    <row r="15" spans="1:9" ht="37.5">
      <c r="A15" s="17" t="s">
        <v>278</v>
      </c>
      <c r="B15" s="119" t="s">
        <v>420</v>
      </c>
      <c r="C15" s="16" t="s">
        <v>277</v>
      </c>
      <c r="D15" s="13"/>
      <c r="E15" s="16" t="s">
        <v>276</v>
      </c>
      <c r="F15" s="15">
        <v>2.2</v>
      </c>
      <c r="G15" s="38">
        <v>0</v>
      </c>
      <c r="H15">
        <f t="shared" si="0"/>
        <v>1075.855</v>
      </c>
      <c r="I15">
        <v>391.22</v>
      </c>
    </row>
    <row r="16" spans="1:9" ht="56.25">
      <c r="A16" s="17" t="s">
        <v>275</v>
      </c>
      <c r="B16" s="119" t="s">
        <v>421</v>
      </c>
      <c r="C16" s="16" t="s">
        <v>274</v>
      </c>
      <c r="D16" s="13" t="s">
        <v>273</v>
      </c>
      <c r="E16" s="16" t="s">
        <v>270</v>
      </c>
      <c r="F16" s="15">
        <v>1.5</v>
      </c>
      <c r="G16" s="38">
        <v>1.4</v>
      </c>
      <c r="H16">
        <f t="shared" si="0"/>
        <v>733.5375</v>
      </c>
      <c r="I16">
        <v>391.22</v>
      </c>
    </row>
    <row r="17" spans="1:9" ht="75">
      <c r="A17" s="17" t="s">
        <v>272</v>
      </c>
      <c r="B17" s="119" t="s">
        <v>422</v>
      </c>
      <c r="C17" s="16" t="s">
        <v>271</v>
      </c>
      <c r="D17" s="13" t="s">
        <v>269</v>
      </c>
      <c r="E17" s="16" t="s">
        <v>270</v>
      </c>
      <c r="F17" s="15">
        <v>2.5</v>
      </c>
      <c r="G17" s="39"/>
      <c r="H17">
        <f t="shared" si="0"/>
        <v>1222.5625</v>
      </c>
      <c r="I17">
        <v>391.22</v>
      </c>
    </row>
    <row r="18" spans="1:9" ht="35.25" customHeight="1">
      <c r="A18" s="17" t="s">
        <v>268</v>
      </c>
      <c r="B18" s="119" t="s">
        <v>423</v>
      </c>
      <c r="C18" s="16" t="s">
        <v>267</v>
      </c>
      <c r="D18" s="13"/>
      <c r="E18" s="16" t="s">
        <v>260</v>
      </c>
      <c r="F18" s="15">
        <v>2.5</v>
      </c>
      <c r="G18" s="38">
        <v>2.5</v>
      </c>
      <c r="H18">
        <f t="shared" si="0"/>
        <v>1222.5625</v>
      </c>
      <c r="I18">
        <v>391.22</v>
      </c>
    </row>
    <row r="19" spans="1:9" ht="112.5">
      <c r="A19" s="17" t="s">
        <v>266</v>
      </c>
      <c r="B19" s="119" t="s">
        <v>424</v>
      </c>
      <c r="C19" s="16" t="s">
        <v>265</v>
      </c>
      <c r="D19" s="13" t="s">
        <v>263</v>
      </c>
      <c r="E19" s="16" t="s">
        <v>264</v>
      </c>
      <c r="F19" s="15">
        <v>4</v>
      </c>
      <c r="G19" s="14">
        <v>4</v>
      </c>
      <c r="H19">
        <f t="shared" si="0"/>
        <v>1956.1000000000001</v>
      </c>
      <c r="I19">
        <v>391.22</v>
      </c>
    </row>
    <row r="20" spans="1:9" ht="18.75">
      <c r="A20" s="17" t="s">
        <v>262</v>
      </c>
      <c r="B20" s="119" t="s">
        <v>425</v>
      </c>
      <c r="C20" s="16" t="s">
        <v>261</v>
      </c>
      <c r="D20" s="13"/>
      <c r="E20" s="16" t="s">
        <v>260</v>
      </c>
      <c r="F20" s="15">
        <v>1.5</v>
      </c>
      <c r="G20" s="14">
        <v>1.5</v>
      </c>
      <c r="H20">
        <f t="shared" si="0"/>
        <v>733.5375</v>
      </c>
      <c r="I20">
        <v>391.22</v>
      </c>
    </row>
    <row r="21" spans="1:9" ht="56.25">
      <c r="A21" s="17" t="s">
        <v>259</v>
      </c>
      <c r="B21" s="119" t="s">
        <v>426</v>
      </c>
      <c r="C21" s="16" t="s">
        <v>258</v>
      </c>
      <c r="D21" s="13"/>
      <c r="E21" s="16" t="s">
        <v>257</v>
      </c>
      <c r="F21" s="15">
        <v>15</v>
      </c>
      <c r="G21" s="14">
        <v>13</v>
      </c>
      <c r="H21">
        <f t="shared" si="0"/>
        <v>7335.375</v>
      </c>
      <c r="I21">
        <v>391.22</v>
      </c>
    </row>
    <row r="22" spans="1:9" ht="56.25">
      <c r="A22" s="17" t="s">
        <v>256</v>
      </c>
      <c r="B22" s="119" t="s">
        <v>427</v>
      </c>
      <c r="C22" s="16" t="s">
        <v>255</v>
      </c>
      <c r="D22" s="13"/>
      <c r="E22" s="16" t="s">
        <v>254</v>
      </c>
      <c r="F22" s="15">
        <v>1.58</v>
      </c>
      <c r="G22" s="39">
        <v>1.6</v>
      </c>
      <c r="H22">
        <f t="shared" si="0"/>
        <v>772.6595</v>
      </c>
      <c r="I22">
        <v>391.22</v>
      </c>
    </row>
    <row r="23" spans="1:9" ht="75">
      <c r="A23" s="17" t="s">
        <v>253</v>
      </c>
      <c r="B23" s="119" t="s">
        <v>428</v>
      </c>
      <c r="C23" s="16" t="s">
        <v>252</v>
      </c>
      <c r="D23" s="13" t="s">
        <v>250</v>
      </c>
      <c r="E23" s="16" t="s">
        <v>251</v>
      </c>
      <c r="F23" s="15">
        <v>4.74</v>
      </c>
      <c r="G23" s="39">
        <v>2.5</v>
      </c>
      <c r="H23">
        <f t="shared" si="0"/>
        <v>2317.9785</v>
      </c>
      <c r="I23">
        <v>391.22</v>
      </c>
    </row>
    <row r="24" spans="1:9" ht="42" customHeight="1">
      <c r="A24" s="17" t="s">
        <v>249</v>
      </c>
      <c r="B24" s="119" t="s">
        <v>429</v>
      </c>
      <c r="C24" s="16" t="s">
        <v>248</v>
      </c>
      <c r="D24" s="13"/>
      <c r="E24" s="16" t="s">
        <v>242</v>
      </c>
      <c r="F24" s="15">
        <v>3.2</v>
      </c>
      <c r="G24" s="14">
        <v>3.2</v>
      </c>
      <c r="H24">
        <f t="shared" si="0"/>
        <v>1564.8800000000003</v>
      </c>
      <c r="I24">
        <v>391.22</v>
      </c>
    </row>
    <row r="25" spans="1:9" ht="56.25">
      <c r="A25" s="17" t="s">
        <v>247</v>
      </c>
      <c r="B25" s="119" t="s">
        <v>430</v>
      </c>
      <c r="C25" s="37" t="s">
        <v>246</v>
      </c>
      <c r="D25" s="13" t="s">
        <v>245</v>
      </c>
      <c r="E25" s="16" t="s">
        <v>242</v>
      </c>
      <c r="F25" s="15">
        <v>1.6</v>
      </c>
      <c r="G25" s="14" t="s">
        <v>241</v>
      </c>
      <c r="H25">
        <f t="shared" si="0"/>
        <v>782.4400000000002</v>
      </c>
      <c r="I25">
        <v>391.22</v>
      </c>
    </row>
    <row r="26" spans="1:9" ht="56.25">
      <c r="A26" s="17" t="s">
        <v>244</v>
      </c>
      <c r="B26" s="119" t="s">
        <v>431</v>
      </c>
      <c r="C26" s="37" t="s">
        <v>243</v>
      </c>
      <c r="D26" s="13" t="s">
        <v>240</v>
      </c>
      <c r="E26" s="16" t="s">
        <v>242</v>
      </c>
      <c r="F26" s="15">
        <v>2</v>
      </c>
      <c r="G26" s="14" t="s">
        <v>241</v>
      </c>
      <c r="H26">
        <f t="shared" si="0"/>
        <v>978.0500000000001</v>
      </c>
      <c r="I26">
        <v>391.22</v>
      </c>
    </row>
    <row r="27" spans="1:9" ht="56.25">
      <c r="A27" s="17" t="s">
        <v>239</v>
      </c>
      <c r="B27" s="119" t="s">
        <v>432</v>
      </c>
      <c r="C27" s="16" t="s">
        <v>238</v>
      </c>
      <c r="D27" s="13" t="s">
        <v>237</v>
      </c>
      <c r="E27" s="37" t="s">
        <v>138</v>
      </c>
      <c r="F27" s="15">
        <v>1.8</v>
      </c>
      <c r="G27" s="38">
        <v>0</v>
      </c>
      <c r="H27">
        <f t="shared" si="0"/>
        <v>880.245</v>
      </c>
      <c r="I27">
        <v>391.22</v>
      </c>
    </row>
    <row r="28" spans="1:9" ht="56.25">
      <c r="A28" s="17" t="s">
        <v>236</v>
      </c>
      <c r="B28" s="119" t="s">
        <v>433</v>
      </c>
      <c r="C28" s="16" t="s">
        <v>235</v>
      </c>
      <c r="D28" s="13" t="s">
        <v>234</v>
      </c>
      <c r="E28" s="37" t="s">
        <v>138</v>
      </c>
      <c r="F28" s="15">
        <v>6.4</v>
      </c>
      <c r="G28" s="14">
        <v>0</v>
      </c>
      <c r="H28">
        <f t="shared" si="0"/>
        <v>3129.7600000000007</v>
      </c>
      <c r="I28">
        <v>391.22</v>
      </c>
    </row>
    <row r="29" spans="1:9" ht="56.25">
      <c r="A29" s="17" t="s">
        <v>233</v>
      </c>
      <c r="B29" s="119" t="s">
        <v>434</v>
      </c>
      <c r="C29" s="16" t="s">
        <v>232</v>
      </c>
      <c r="D29" s="13" t="s">
        <v>231</v>
      </c>
      <c r="E29" s="37" t="s">
        <v>124</v>
      </c>
      <c r="F29" s="15">
        <v>11.2</v>
      </c>
      <c r="G29" s="14">
        <v>0</v>
      </c>
      <c r="H29">
        <f t="shared" si="0"/>
        <v>5477.08</v>
      </c>
      <c r="I29">
        <v>391.22</v>
      </c>
    </row>
    <row r="30" spans="1:9" ht="56.25">
      <c r="A30" s="17" t="s">
        <v>230</v>
      </c>
      <c r="B30" s="119" t="s">
        <v>435</v>
      </c>
      <c r="C30" s="16" t="s">
        <v>229</v>
      </c>
      <c r="D30" s="13" t="s">
        <v>228</v>
      </c>
      <c r="E30" s="37" t="s">
        <v>124</v>
      </c>
      <c r="F30" s="15">
        <v>9</v>
      </c>
      <c r="G30" s="14">
        <v>0</v>
      </c>
      <c r="H30">
        <f t="shared" si="0"/>
        <v>4401.225</v>
      </c>
      <c r="I30">
        <v>391.22</v>
      </c>
    </row>
    <row r="31" spans="1:9" ht="112.5">
      <c r="A31" s="17" t="s">
        <v>227</v>
      </c>
      <c r="B31" s="119" t="s">
        <v>436</v>
      </c>
      <c r="C31" s="16" t="s">
        <v>226</v>
      </c>
      <c r="D31" s="13" t="s">
        <v>225</v>
      </c>
      <c r="E31" s="37" t="s">
        <v>124</v>
      </c>
      <c r="F31" s="15">
        <v>1.75</v>
      </c>
      <c r="G31" s="38">
        <v>1.75</v>
      </c>
      <c r="H31">
        <f t="shared" si="0"/>
        <v>855.79375</v>
      </c>
      <c r="I31">
        <v>391.22</v>
      </c>
    </row>
    <row r="32" spans="1:9" ht="37.5">
      <c r="A32" s="17" t="s">
        <v>224</v>
      </c>
      <c r="B32" s="119" t="s">
        <v>437</v>
      </c>
      <c r="C32" s="16" t="s">
        <v>223</v>
      </c>
      <c r="D32" s="13"/>
      <c r="E32" s="37" t="s">
        <v>222</v>
      </c>
      <c r="F32" s="15">
        <v>0.5</v>
      </c>
      <c r="G32" s="14">
        <v>0.5</v>
      </c>
      <c r="H32">
        <f t="shared" si="0"/>
        <v>244.51250000000002</v>
      </c>
      <c r="I32">
        <v>391.22</v>
      </c>
    </row>
    <row r="33" spans="1:9" ht="56.25">
      <c r="A33" s="17" t="s">
        <v>221</v>
      </c>
      <c r="B33" s="119" t="s">
        <v>438</v>
      </c>
      <c r="C33" s="16" t="s">
        <v>220</v>
      </c>
      <c r="D33" s="13" t="s">
        <v>219</v>
      </c>
      <c r="E33" s="37" t="s">
        <v>199</v>
      </c>
      <c r="F33" s="15">
        <v>1.5</v>
      </c>
      <c r="G33" s="14">
        <v>0</v>
      </c>
      <c r="H33">
        <f t="shared" si="0"/>
        <v>733.5375</v>
      </c>
      <c r="I33">
        <v>391.22</v>
      </c>
    </row>
    <row r="34" spans="1:9" ht="91.5" customHeight="1">
      <c r="A34" s="128" t="s">
        <v>218</v>
      </c>
      <c r="B34" s="120" t="s">
        <v>415</v>
      </c>
      <c r="C34" s="36"/>
      <c r="D34" s="13"/>
      <c r="E34" s="36"/>
      <c r="F34" s="36"/>
      <c r="G34" s="14"/>
      <c r="H34">
        <f t="shared" si="0"/>
        <v>0</v>
      </c>
      <c r="I34">
        <v>391.22</v>
      </c>
    </row>
    <row r="35" spans="1:9" ht="93.75">
      <c r="A35" s="17" t="s">
        <v>217</v>
      </c>
      <c r="B35" s="120" t="s">
        <v>439</v>
      </c>
      <c r="C35" s="16" t="s">
        <v>216</v>
      </c>
      <c r="D35" s="13" t="s">
        <v>215</v>
      </c>
      <c r="E35" s="16" t="s">
        <v>203</v>
      </c>
      <c r="F35" s="15">
        <v>2.5</v>
      </c>
      <c r="G35" s="14">
        <v>1.6</v>
      </c>
      <c r="H35">
        <f t="shared" si="0"/>
        <v>1222.5625</v>
      </c>
      <c r="I35">
        <v>391.22</v>
      </c>
    </row>
    <row r="36" spans="1:9" ht="75">
      <c r="A36" s="17" t="s">
        <v>214</v>
      </c>
      <c r="B36" s="120" t="s">
        <v>440</v>
      </c>
      <c r="C36" s="16" t="s">
        <v>213</v>
      </c>
      <c r="D36" s="13" t="s">
        <v>212</v>
      </c>
      <c r="E36" s="16" t="s">
        <v>203</v>
      </c>
      <c r="F36" s="15">
        <v>3.5</v>
      </c>
      <c r="G36" s="14">
        <v>2.5</v>
      </c>
      <c r="H36">
        <f t="shared" si="0"/>
        <v>1711.5875</v>
      </c>
      <c r="I36">
        <v>391.22</v>
      </c>
    </row>
    <row r="37" spans="1:9" ht="75">
      <c r="A37" s="17" t="s">
        <v>211</v>
      </c>
      <c r="B37" s="120" t="s">
        <v>441</v>
      </c>
      <c r="C37" s="16" t="s">
        <v>210</v>
      </c>
      <c r="D37" s="13" t="s">
        <v>209</v>
      </c>
      <c r="E37" s="16" t="s">
        <v>203</v>
      </c>
      <c r="F37" s="15">
        <v>6.5</v>
      </c>
      <c r="G37" s="14">
        <v>3.2</v>
      </c>
      <c r="H37">
        <f t="shared" si="0"/>
        <v>3178.6625000000004</v>
      </c>
      <c r="I37">
        <v>391.22</v>
      </c>
    </row>
    <row r="38" spans="1:9" ht="75">
      <c r="A38" s="17" t="s">
        <v>208</v>
      </c>
      <c r="B38" s="120" t="s">
        <v>442</v>
      </c>
      <c r="C38" s="16" t="s">
        <v>207</v>
      </c>
      <c r="D38" s="13" t="s">
        <v>206</v>
      </c>
      <c r="E38" s="16" t="s">
        <v>203</v>
      </c>
      <c r="F38" s="15">
        <v>8</v>
      </c>
      <c r="G38" s="14">
        <v>6.4</v>
      </c>
      <c r="H38">
        <f t="shared" si="0"/>
        <v>3912.2000000000003</v>
      </c>
      <c r="I38">
        <v>391.22</v>
      </c>
    </row>
    <row r="39" spans="1:9" ht="93.75">
      <c r="A39" s="17" t="s">
        <v>205</v>
      </c>
      <c r="B39" s="120" t="s">
        <v>443</v>
      </c>
      <c r="C39" s="16" t="s">
        <v>204</v>
      </c>
      <c r="D39" s="13" t="s">
        <v>202</v>
      </c>
      <c r="E39" s="16" t="s">
        <v>203</v>
      </c>
      <c r="F39" s="15">
        <v>0.5</v>
      </c>
      <c r="G39" s="14">
        <v>0.4</v>
      </c>
      <c r="H39">
        <f t="shared" si="0"/>
        <v>244.51250000000002</v>
      </c>
      <c r="I39">
        <v>391.22</v>
      </c>
    </row>
    <row r="40" spans="1:9" ht="64.5" customHeight="1">
      <c r="A40" s="17" t="s">
        <v>201</v>
      </c>
      <c r="B40" s="120" t="s">
        <v>444</v>
      </c>
      <c r="C40" s="16" t="s">
        <v>200</v>
      </c>
      <c r="D40" s="13" t="s">
        <v>198</v>
      </c>
      <c r="E40" s="16" t="s">
        <v>199</v>
      </c>
      <c r="F40" s="15">
        <v>3.2</v>
      </c>
      <c r="G40" s="14">
        <v>3.2</v>
      </c>
      <c r="H40">
        <f t="shared" si="0"/>
        <v>1564.8800000000003</v>
      </c>
      <c r="I40">
        <v>391.22</v>
      </c>
    </row>
    <row r="41" spans="1:9" ht="56.25">
      <c r="A41" s="35" t="s">
        <v>197</v>
      </c>
      <c r="B41" s="120" t="s">
        <v>445</v>
      </c>
      <c r="C41" s="34" t="s">
        <v>196</v>
      </c>
      <c r="D41" s="31" t="s">
        <v>194</v>
      </c>
      <c r="E41" s="34" t="s">
        <v>195</v>
      </c>
      <c r="F41" s="33">
        <v>3.2</v>
      </c>
      <c r="G41" s="32">
        <v>3.2</v>
      </c>
      <c r="H41">
        <f t="shared" si="0"/>
        <v>1564.8800000000003</v>
      </c>
      <c r="I41">
        <v>391.22</v>
      </c>
    </row>
    <row r="42" spans="1:9" ht="18.75" customHeight="1">
      <c r="A42" s="30" t="s">
        <v>193</v>
      </c>
      <c r="B42" s="121"/>
      <c r="C42" s="29"/>
      <c r="D42" s="28"/>
      <c r="E42" s="29"/>
      <c r="F42" s="29"/>
      <c r="G42" s="29"/>
      <c r="H42">
        <f t="shared" si="0"/>
        <v>0</v>
      </c>
      <c r="I42">
        <v>391.22</v>
      </c>
    </row>
    <row r="43" spans="1:9" ht="37.5">
      <c r="A43" s="27" t="s">
        <v>192</v>
      </c>
      <c r="B43" s="119" t="s">
        <v>446</v>
      </c>
      <c r="C43" s="26" t="s">
        <v>191</v>
      </c>
      <c r="D43" s="23"/>
      <c r="E43" s="26" t="s">
        <v>190</v>
      </c>
      <c r="F43" s="25">
        <v>2.5</v>
      </c>
      <c r="G43" s="24"/>
      <c r="H43">
        <f t="shared" si="0"/>
        <v>1222.5625</v>
      </c>
      <c r="I43">
        <v>391.22</v>
      </c>
    </row>
    <row r="44" spans="1:9" ht="37.5">
      <c r="A44" s="17" t="s">
        <v>189</v>
      </c>
      <c r="B44" s="119" t="s">
        <v>447</v>
      </c>
      <c r="C44" s="16" t="s">
        <v>188</v>
      </c>
      <c r="D44" s="13"/>
      <c r="E44" s="16" t="s">
        <v>187</v>
      </c>
      <c r="F44" s="15">
        <v>5</v>
      </c>
      <c r="G44" s="14"/>
      <c r="H44">
        <f t="shared" si="0"/>
        <v>2445.125</v>
      </c>
      <c r="I44">
        <v>391.22</v>
      </c>
    </row>
    <row r="45" spans="1:9" ht="37.5">
      <c r="A45" s="17" t="s">
        <v>186</v>
      </c>
      <c r="B45" s="119" t="s">
        <v>448</v>
      </c>
      <c r="C45" s="16" t="s">
        <v>185</v>
      </c>
      <c r="D45" s="13"/>
      <c r="E45" s="16" t="s">
        <v>184</v>
      </c>
      <c r="F45" s="15">
        <v>7.2</v>
      </c>
      <c r="G45" s="14"/>
      <c r="H45">
        <f t="shared" si="0"/>
        <v>3520.98</v>
      </c>
      <c r="I45">
        <v>391.22</v>
      </c>
    </row>
    <row r="46" spans="1:9" ht="18.75">
      <c r="A46" s="17" t="s">
        <v>183</v>
      </c>
      <c r="B46" s="119" t="s">
        <v>449</v>
      </c>
      <c r="C46" s="16" t="s">
        <v>182</v>
      </c>
      <c r="D46" s="13"/>
      <c r="E46" s="16" t="s">
        <v>181</v>
      </c>
      <c r="F46" s="15">
        <v>2.5</v>
      </c>
      <c r="G46" s="14"/>
      <c r="H46">
        <f t="shared" si="0"/>
        <v>1222.5625</v>
      </c>
      <c r="I46">
        <v>391.22</v>
      </c>
    </row>
    <row r="47" spans="1:9" ht="56.25">
      <c r="A47" s="17" t="s">
        <v>180</v>
      </c>
      <c r="B47" s="119" t="s">
        <v>450</v>
      </c>
      <c r="C47" s="16" t="s">
        <v>179</v>
      </c>
      <c r="D47" s="13"/>
      <c r="E47" s="16" t="s">
        <v>178</v>
      </c>
      <c r="F47" s="15">
        <v>8.9</v>
      </c>
      <c r="G47" s="14"/>
      <c r="H47">
        <f t="shared" si="0"/>
        <v>4352.3225</v>
      </c>
      <c r="I47">
        <v>391.22</v>
      </c>
    </row>
    <row r="48" spans="1:9" ht="37.5">
      <c r="A48" s="17" t="s">
        <v>177</v>
      </c>
      <c r="B48" s="119" t="s">
        <v>451</v>
      </c>
      <c r="C48" s="16" t="s">
        <v>176</v>
      </c>
      <c r="D48" s="13"/>
      <c r="E48" s="16" t="s">
        <v>119</v>
      </c>
      <c r="F48" s="15">
        <v>0.63</v>
      </c>
      <c r="G48" s="14"/>
      <c r="H48">
        <f t="shared" si="0"/>
        <v>308.08575</v>
      </c>
      <c r="I48">
        <v>391.22</v>
      </c>
    </row>
    <row r="49" spans="1:9" ht="37.5">
      <c r="A49" s="17" t="s">
        <v>175</v>
      </c>
      <c r="B49" s="119" t="s">
        <v>452</v>
      </c>
      <c r="C49" s="16" t="s">
        <v>174</v>
      </c>
      <c r="D49" s="13"/>
      <c r="E49" s="16" t="s">
        <v>168</v>
      </c>
      <c r="F49" s="15">
        <v>1.5</v>
      </c>
      <c r="G49" s="14"/>
      <c r="H49">
        <f t="shared" si="0"/>
        <v>733.5375</v>
      </c>
      <c r="I49">
        <v>391.22</v>
      </c>
    </row>
    <row r="50" spans="1:9" ht="75">
      <c r="A50" s="17" t="s">
        <v>173</v>
      </c>
      <c r="B50" s="119" t="s">
        <v>453</v>
      </c>
      <c r="C50" s="16" t="s">
        <v>172</v>
      </c>
      <c r="D50" s="13" t="s">
        <v>171</v>
      </c>
      <c r="E50" s="16" t="s">
        <v>168</v>
      </c>
      <c r="F50" s="15">
        <v>3.5</v>
      </c>
      <c r="G50" s="14"/>
      <c r="H50">
        <f t="shared" si="0"/>
        <v>1711.5875</v>
      </c>
      <c r="I50">
        <v>391.22</v>
      </c>
    </row>
    <row r="51" spans="1:9" ht="56.25">
      <c r="A51" s="17" t="s">
        <v>170</v>
      </c>
      <c r="B51" s="119" t="s">
        <v>454</v>
      </c>
      <c r="C51" s="16" t="s">
        <v>169</v>
      </c>
      <c r="D51" s="13" t="s">
        <v>167</v>
      </c>
      <c r="E51" s="16" t="s">
        <v>168</v>
      </c>
      <c r="F51" s="15">
        <v>6.6</v>
      </c>
      <c r="G51" s="14"/>
      <c r="H51">
        <f t="shared" si="0"/>
        <v>3227.565</v>
      </c>
      <c r="I51">
        <v>391.22</v>
      </c>
    </row>
    <row r="52" spans="1:9" ht="37.5">
      <c r="A52" s="17" t="s">
        <v>166</v>
      </c>
      <c r="B52" s="119" t="s">
        <v>455</v>
      </c>
      <c r="C52" s="16" t="s">
        <v>165</v>
      </c>
      <c r="D52" s="13"/>
      <c r="E52" s="16" t="s">
        <v>164</v>
      </c>
      <c r="F52" s="15">
        <v>3.3</v>
      </c>
      <c r="G52" s="14"/>
      <c r="H52">
        <f t="shared" si="0"/>
        <v>1613.7825</v>
      </c>
      <c r="I52">
        <v>391.22</v>
      </c>
    </row>
    <row r="53" spans="1:9" ht="18.75">
      <c r="A53" s="17" t="s">
        <v>163</v>
      </c>
      <c r="B53" s="119" t="s">
        <v>456</v>
      </c>
      <c r="C53" s="16" t="s">
        <v>162</v>
      </c>
      <c r="D53" s="13"/>
      <c r="E53" s="16" t="s">
        <v>159</v>
      </c>
      <c r="F53" s="15">
        <v>2.15</v>
      </c>
      <c r="G53" s="14"/>
      <c r="H53">
        <f t="shared" si="0"/>
        <v>1051.40375</v>
      </c>
      <c r="I53">
        <v>391.22</v>
      </c>
    </row>
    <row r="54" spans="1:9" ht="37.5">
      <c r="A54" s="17" t="s">
        <v>161</v>
      </c>
      <c r="B54" s="119" t="s">
        <v>457</v>
      </c>
      <c r="C54" s="16" t="s">
        <v>160</v>
      </c>
      <c r="D54" s="13"/>
      <c r="E54" s="16" t="s">
        <v>159</v>
      </c>
      <c r="F54" s="15">
        <v>5</v>
      </c>
      <c r="G54" s="14"/>
      <c r="H54">
        <f t="shared" si="0"/>
        <v>2445.125</v>
      </c>
      <c r="I54">
        <v>391.22</v>
      </c>
    </row>
    <row r="55" spans="1:9" ht="18.75">
      <c r="A55" s="17" t="s">
        <v>158</v>
      </c>
      <c r="B55" s="119" t="s">
        <v>458</v>
      </c>
      <c r="C55" s="16" t="s">
        <v>157</v>
      </c>
      <c r="D55" s="13"/>
      <c r="E55" s="16" t="s">
        <v>156</v>
      </c>
      <c r="F55" s="15">
        <v>3.4</v>
      </c>
      <c r="G55" s="14"/>
      <c r="H55">
        <f t="shared" si="0"/>
        <v>1662.6850000000002</v>
      </c>
      <c r="I55">
        <v>391.22</v>
      </c>
    </row>
    <row r="56" spans="1:9" ht="37.5">
      <c r="A56" s="17" t="s">
        <v>155</v>
      </c>
      <c r="B56" s="119" t="s">
        <v>459</v>
      </c>
      <c r="C56" s="16" t="s">
        <v>154</v>
      </c>
      <c r="D56" s="13"/>
      <c r="E56" s="16" t="s">
        <v>12</v>
      </c>
      <c r="F56" s="15">
        <v>3.4</v>
      </c>
      <c r="G56" s="14"/>
      <c r="H56">
        <f t="shared" si="0"/>
        <v>1662.6850000000002</v>
      </c>
      <c r="I56">
        <v>391.22</v>
      </c>
    </row>
    <row r="57" spans="1:9" ht="37.5">
      <c r="A57" s="17" t="s">
        <v>153</v>
      </c>
      <c r="B57" s="119" t="s">
        <v>460</v>
      </c>
      <c r="C57" s="16" t="s">
        <v>152</v>
      </c>
      <c r="D57" s="13"/>
      <c r="E57" s="16" t="s">
        <v>151</v>
      </c>
      <c r="F57" s="15">
        <v>5</v>
      </c>
      <c r="G57" s="14"/>
      <c r="H57">
        <f t="shared" si="0"/>
        <v>2445.125</v>
      </c>
      <c r="I57">
        <v>391.22</v>
      </c>
    </row>
    <row r="58" spans="1:9" ht="37.5">
      <c r="A58" s="17" t="s">
        <v>150</v>
      </c>
      <c r="B58" s="119" t="s">
        <v>461</v>
      </c>
      <c r="C58" s="16" t="s">
        <v>149</v>
      </c>
      <c r="D58" s="13"/>
      <c r="E58" s="16" t="s">
        <v>144</v>
      </c>
      <c r="F58" s="15">
        <v>14.1</v>
      </c>
      <c r="G58" s="14"/>
      <c r="H58">
        <f t="shared" si="0"/>
        <v>6895.2525000000005</v>
      </c>
      <c r="I58">
        <v>391.22</v>
      </c>
    </row>
    <row r="59" spans="1:9" ht="37.5">
      <c r="A59" s="17" t="s">
        <v>148</v>
      </c>
      <c r="B59" s="119" t="s">
        <v>462</v>
      </c>
      <c r="C59" s="16" t="s">
        <v>147</v>
      </c>
      <c r="D59" s="13"/>
      <c r="E59" s="16" t="s">
        <v>144</v>
      </c>
      <c r="F59" s="15">
        <v>11.4</v>
      </c>
      <c r="G59" s="14"/>
      <c r="H59">
        <f t="shared" si="0"/>
        <v>5574.885</v>
      </c>
      <c r="I59">
        <v>391.22</v>
      </c>
    </row>
    <row r="60" spans="1:9" ht="37.5">
      <c r="A60" s="17" t="s">
        <v>146</v>
      </c>
      <c r="B60" s="119" t="s">
        <v>463</v>
      </c>
      <c r="C60" s="16" t="s">
        <v>145</v>
      </c>
      <c r="D60" s="13"/>
      <c r="E60" s="16" t="s">
        <v>144</v>
      </c>
      <c r="F60" s="15">
        <v>18</v>
      </c>
      <c r="G60" s="14"/>
      <c r="H60">
        <f t="shared" si="0"/>
        <v>8802.45</v>
      </c>
      <c r="I60">
        <v>391.22</v>
      </c>
    </row>
    <row r="61" spans="1:9" ht="37.5">
      <c r="A61" s="17" t="s">
        <v>143</v>
      </c>
      <c r="B61" s="119" t="s">
        <v>464</v>
      </c>
      <c r="C61" s="16" t="s">
        <v>142</v>
      </c>
      <c r="D61" s="13" t="s">
        <v>141</v>
      </c>
      <c r="E61" s="16" t="s">
        <v>124</v>
      </c>
      <c r="F61" s="15">
        <v>21.5</v>
      </c>
      <c r="G61" s="14"/>
      <c r="H61">
        <f t="shared" si="0"/>
        <v>10514.037500000002</v>
      </c>
      <c r="I61">
        <v>391.22</v>
      </c>
    </row>
    <row r="62" spans="1:9" ht="18.75">
      <c r="A62" s="17" t="s">
        <v>140</v>
      </c>
      <c r="B62" s="119" t="s">
        <v>465</v>
      </c>
      <c r="C62" s="16" t="s">
        <v>139</v>
      </c>
      <c r="D62" s="13"/>
      <c r="E62" s="16" t="s">
        <v>138</v>
      </c>
      <c r="F62" s="15">
        <v>21.5</v>
      </c>
      <c r="G62" s="14">
        <v>24</v>
      </c>
      <c r="H62">
        <f t="shared" si="0"/>
        <v>10514.037500000002</v>
      </c>
      <c r="I62">
        <v>391.22</v>
      </c>
    </row>
    <row r="63" spans="1:9" ht="18.75">
      <c r="A63" s="17" t="s">
        <v>137</v>
      </c>
      <c r="B63" s="119" t="s">
        <v>466</v>
      </c>
      <c r="C63" s="16" t="s">
        <v>136</v>
      </c>
      <c r="D63" s="13"/>
      <c r="E63" s="16" t="s">
        <v>124</v>
      </c>
      <c r="F63" s="15">
        <v>21.5</v>
      </c>
      <c r="G63" s="14">
        <v>24</v>
      </c>
      <c r="H63">
        <f t="shared" si="0"/>
        <v>10514.037500000002</v>
      </c>
      <c r="I63">
        <v>391.22</v>
      </c>
    </row>
    <row r="64" spans="1:9" ht="37.5">
      <c r="A64" s="17" t="s">
        <v>134</v>
      </c>
      <c r="B64" s="119" t="s">
        <v>467</v>
      </c>
      <c r="C64" s="16" t="s">
        <v>135</v>
      </c>
      <c r="D64" s="13"/>
      <c r="E64" s="16" t="s">
        <v>12</v>
      </c>
      <c r="F64" s="15">
        <v>15.2</v>
      </c>
      <c r="G64" s="14"/>
      <c r="H64">
        <f t="shared" si="0"/>
        <v>7433.18</v>
      </c>
      <c r="I64">
        <v>391.22</v>
      </c>
    </row>
    <row r="65" spans="1:9" ht="37.5">
      <c r="A65" s="17" t="s">
        <v>134</v>
      </c>
      <c r="B65" s="119" t="s">
        <v>468</v>
      </c>
      <c r="C65" s="16" t="s">
        <v>133</v>
      </c>
      <c r="D65" s="13"/>
      <c r="E65" s="16" t="s">
        <v>132</v>
      </c>
      <c r="F65" s="15">
        <v>0.6</v>
      </c>
      <c r="G65" s="14"/>
      <c r="H65">
        <f t="shared" si="0"/>
        <v>293.415</v>
      </c>
      <c r="I65">
        <v>391.22</v>
      </c>
    </row>
    <row r="66" spans="1:9" ht="37.5">
      <c r="A66" s="17" t="s">
        <v>131</v>
      </c>
      <c r="B66" s="119" t="s">
        <v>469</v>
      </c>
      <c r="C66" s="16" t="s">
        <v>130</v>
      </c>
      <c r="D66" s="13"/>
      <c r="E66" s="16"/>
      <c r="F66" s="15">
        <v>37</v>
      </c>
      <c r="G66" s="14"/>
      <c r="H66">
        <f t="shared" si="0"/>
        <v>18093.925000000003</v>
      </c>
      <c r="I66">
        <v>391.22</v>
      </c>
    </row>
    <row r="67" spans="1:9" ht="75">
      <c r="A67" s="17" t="s">
        <v>129</v>
      </c>
      <c r="B67" s="119" t="s">
        <v>470</v>
      </c>
      <c r="C67" s="16" t="s">
        <v>128</v>
      </c>
      <c r="D67" s="13" t="s">
        <v>127</v>
      </c>
      <c r="E67" s="16" t="s">
        <v>124</v>
      </c>
      <c r="F67" s="15">
        <v>49.1</v>
      </c>
      <c r="G67" s="14"/>
      <c r="H67">
        <f t="shared" si="0"/>
        <v>24011.127500000002</v>
      </c>
      <c r="I67">
        <v>391.22</v>
      </c>
    </row>
    <row r="68" spans="1:9" ht="37.5">
      <c r="A68" s="17" t="s">
        <v>126</v>
      </c>
      <c r="B68" s="119" t="s">
        <v>471</v>
      </c>
      <c r="C68" s="16" t="s">
        <v>125</v>
      </c>
      <c r="D68" s="13" t="s">
        <v>123</v>
      </c>
      <c r="E68" s="16" t="s">
        <v>124</v>
      </c>
      <c r="F68" s="15">
        <v>15.1</v>
      </c>
      <c r="G68" s="14"/>
      <c r="H68">
        <f t="shared" si="0"/>
        <v>7384.2775</v>
      </c>
      <c r="I68">
        <v>391.22</v>
      </c>
    </row>
    <row r="69" spans="1:9" ht="18.75">
      <c r="A69" s="22"/>
      <c r="B69" s="122" t="s">
        <v>416</v>
      </c>
      <c r="C69" s="21" t="s">
        <v>122</v>
      </c>
      <c r="D69" s="18"/>
      <c r="E69" s="21"/>
      <c r="F69" s="20"/>
      <c r="G69" s="19"/>
      <c r="H69">
        <f t="shared" si="0"/>
        <v>0</v>
      </c>
      <c r="I69">
        <v>391.22</v>
      </c>
    </row>
    <row r="70" spans="1:9" ht="18.75">
      <c r="A70" s="17" t="s">
        <v>121</v>
      </c>
      <c r="B70" s="124" t="s">
        <v>472</v>
      </c>
      <c r="C70" s="16" t="s">
        <v>120</v>
      </c>
      <c r="D70" s="13"/>
      <c r="E70" s="16" t="s">
        <v>119</v>
      </c>
      <c r="F70" s="15">
        <v>8.5</v>
      </c>
      <c r="G70" s="14"/>
      <c r="H70">
        <f t="shared" si="0"/>
        <v>4156.712500000001</v>
      </c>
      <c r="I70">
        <v>391.22</v>
      </c>
    </row>
    <row r="71" spans="1:9" ht="18.75">
      <c r="A71" s="17" t="s">
        <v>118</v>
      </c>
      <c r="B71" s="124" t="s">
        <v>473</v>
      </c>
      <c r="C71" s="16" t="s">
        <v>117</v>
      </c>
      <c r="D71" s="13"/>
      <c r="E71" s="16" t="s">
        <v>12</v>
      </c>
      <c r="F71" s="15">
        <v>10.2</v>
      </c>
      <c r="G71" s="14"/>
      <c r="H71">
        <f t="shared" si="0"/>
        <v>4988.055</v>
      </c>
      <c r="I71">
        <v>391.22</v>
      </c>
    </row>
    <row r="72" spans="1:9" ht="37.5">
      <c r="A72" s="17" t="s">
        <v>116</v>
      </c>
      <c r="B72" s="124" t="s">
        <v>474</v>
      </c>
      <c r="C72" s="16" t="s">
        <v>115</v>
      </c>
      <c r="D72" s="13"/>
      <c r="E72" s="16"/>
      <c r="F72" s="15">
        <v>7</v>
      </c>
      <c r="G72" s="14"/>
      <c r="H72">
        <f t="shared" si="0"/>
        <v>3423.175</v>
      </c>
      <c r="I72">
        <v>391.22</v>
      </c>
    </row>
    <row r="73" spans="1:9" ht="37.5">
      <c r="A73" s="17" t="s">
        <v>114</v>
      </c>
      <c r="B73" s="124" t="s">
        <v>475</v>
      </c>
      <c r="C73" s="16" t="s">
        <v>113</v>
      </c>
      <c r="D73" s="13"/>
      <c r="E73" s="16"/>
      <c r="F73" s="15">
        <v>8.25</v>
      </c>
      <c r="G73" s="14"/>
      <c r="H73">
        <f t="shared" si="0"/>
        <v>4034.45625</v>
      </c>
      <c r="I73">
        <v>391.22</v>
      </c>
    </row>
    <row r="75" spans="1:2" ht="15">
      <c r="A75" s="12"/>
      <c r="B75" s="123"/>
    </row>
    <row r="77" spans="1:2" ht="15">
      <c r="A77" s="12" t="s">
        <v>112</v>
      </c>
      <c r="B77" s="123"/>
    </row>
    <row r="79" spans="1:2" ht="15">
      <c r="A79" s="12" t="s">
        <v>111</v>
      </c>
      <c r="B79" s="123"/>
    </row>
  </sheetData>
  <sheetProtection/>
  <mergeCells count="1">
    <mergeCell ref="A7:F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Оксана</cp:lastModifiedBy>
  <cp:lastPrinted>2020-05-25T10:15:42Z</cp:lastPrinted>
  <dcterms:created xsi:type="dcterms:W3CDTF">2018-05-21T07:23:00Z</dcterms:created>
  <dcterms:modified xsi:type="dcterms:W3CDTF">2020-05-26T08:13:40Z</dcterms:modified>
  <cp:category/>
  <cp:version/>
  <cp:contentType/>
  <cp:contentStatus/>
</cp:coreProperties>
</file>